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uardo Villaquiran\Dropbox\"/>
    </mc:Choice>
  </mc:AlternateContent>
  <xr:revisionPtr revIDLastSave="0" documentId="13_ncr:1_{AD40183B-F888-4AAA-90C2-9F40E7157249}" xr6:coauthVersionLast="45" xr6:coauthVersionMax="45" xr10:uidLastSave="{00000000-0000-0000-0000-000000000000}"/>
  <bookViews>
    <workbookView xWindow="-120" yWindow="-120" windowWidth="20730" windowHeight="11160" firstSheet="2" activeTab="6" xr2:uid="{00000000-000D-0000-FFFF-FFFF00000000}"/>
  </bookViews>
  <sheets>
    <sheet name="Investment" sheetId="2" r:id="rId1"/>
    <sheet name="Premises" sheetId="7" r:id="rId2"/>
    <sheet name="A B Farm" sheetId="1" r:id="rId3"/>
    <sheet name="C D Extraction Mill" sheetId="3" r:id="rId4"/>
    <sheet name="E F Refinery" sheetId="5" r:id="rId5"/>
    <sheet name="G Biomass" sheetId="4" r:id="rId6"/>
    <sheet name="A B C D E F G Summary" sheetId="6" r:id="rId7"/>
    <sheet name="Gráficos" sheetId="8" r:id="rId8"/>
  </sheets>
  <definedNames>
    <definedName name="_xlchart.v1.0" hidden="1">Gráficos!$B$1:$P$1</definedName>
    <definedName name="_xlchart.v1.1" hidden="1">Gráficos!$B$2:$P$2</definedName>
    <definedName name="_xlchart.v1.2" hidden="1">Gráficos!$B$3:$P$3</definedName>
    <definedName name="_xlchart.v1.3" hidden="1">Gráficos!$B$4:$P$4</definedName>
    <definedName name="_xlchart.v1.4" hidden="1">Gráficos!$B$5:$P$5</definedName>
    <definedName name="_xlchart.v1.5" hidden="1">Gráficos!$B$7:$P$7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0" i="7" l="1"/>
  <c r="F29" i="2"/>
  <c r="F24" i="2"/>
  <c r="F25" i="2"/>
  <c r="F26" i="2"/>
  <c r="L7" i="8" l="1"/>
  <c r="M7" i="8"/>
  <c r="N7" i="8"/>
  <c r="O7" i="8"/>
  <c r="P7" i="8"/>
  <c r="F62" i="6" l="1"/>
  <c r="G62" i="6"/>
  <c r="H62" i="6"/>
  <c r="I62" i="6"/>
  <c r="H15" i="1"/>
  <c r="I15" i="1"/>
  <c r="I55" i="6"/>
  <c r="D55" i="6"/>
  <c r="E55" i="6"/>
  <c r="F55" i="6"/>
  <c r="G55" i="6"/>
  <c r="H55" i="6"/>
  <c r="C55" i="6"/>
  <c r="D15" i="1"/>
  <c r="E15" i="1"/>
  <c r="F15" i="1"/>
  <c r="G15" i="1"/>
  <c r="C15" i="1"/>
  <c r="B60" i="6"/>
  <c r="B59" i="6"/>
  <c r="E59" i="6" s="1"/>
  <c r="E62" i="6" s="1"/>
  <c r="B58" i="6"/>
  <c r="C58" i="6" s="1"/>
  <c r="B57" i="6"/>
  <c r="D57" i="6" s="1"/>
  <c r="B56" i="6"/>
  <c r="C56" i="6" s="1"/>
  <c r="B54" i="6"/>
  <c r="C54" i="6" s="1"/>
  <c r="M22" i="4"/>
  <c r="N22" i="4"/>
  <c r="O22" i="4"/>
  <c r="P22" i="4"/>
  <c r="Q22" i="4"/>
  <c r="B18" i="4"/>
  <c r="H18" i="4" s="1"/>
  <c r="B20" i="5"/>
  <c r="B24" i="5" s="1"/>
  <c r="B26" i="3"/>
  <c r="D26" i="3" s="1"/>
  <c r="A23" i="1"/>
  <c r="B39" i="7"/>
  <c r="B34" i="7"/>
  <c r="B33" i="7"/>
  <c r="B32" i="7"/>
  <c r="B25" i="7"/>
  <c r="B24" i="7"/>
  <c r="B23" i="7"/>
  <c r="B16" i="7"/>
  <c r="B15" i="7"/>
  <c r="E9" i="7"/>
  <c r="B9" i="7"/>
  <c r="E6" i="7"/>
  <c r="B6" i="7"/>
  <c r="B5" i="7"/>
  <c r="P5" i="8"/>
  <c r="Q21" i="3"/>
  <c r="Q22" i="3" s="1"/>
  <c r="U25" i="1"/>
  <c r="B38" i="1" s="1"/>
  <c r="U38" i="1" s="1"/>
  <c r="U41" i="1" s="1"/>
  <c r="U48" i="1" s="1"/>
  <c r="U50" i="1" s="1"/>
  <c r="L21" i="3"/>
  <c r="N4" i="5" s="1"/>
  <c r="B5" i="8"/>
  <c r="K21" i="3"/>
  <c r="M4" i="5" s="1"/>
  <c r="M21" i="3"/>
  <c r="M22" i="3" s="1"/>
  <c r="N21" i="3"/>
  <c r="N22" i="3" s="1"/>
  <c r="N17" i="3" s="1"/>
  <c r="O21" i="3"/>
  <c r="O22" i="3" s="1"/>
  <c r="P21" i="3"/>
  <c r="P22" i="3" s="1"/>
  <c r="P17" i="3" s="1"/>
  <c r="O23" i="1"/>
  <c r="P23" i="1"/>
  <c r="Q23" i="1"/>
  <c r="O25" i="1"/>
  <c r="P25" i="1"/>
  <c r="Q25" i="1"/>
  <c r="O27" i="1"/>
  <c r="P27" i="1"/>
  <c r="Q27" i="1"/>
  <c r="O6" i="1"/>
  <c r="P6" i="1"/>
  <c r="Q6" i="1"/>
  <c r="O8" i="1"/>
  <c r="P8" i="1"/>
  <c r="Q8" i="1"/>
  <c r="O10" i="1"/>
  <c r="P10" i="1"/>
  <c r="Q10" i="1"/>
  <c r="O12" i="1"/>
  <c r="P12" i="1"/>
  <c r="Q12" i="1"/>
  <c r="Q41" i="6"/>
  <c r="Q14" i="1"/>
  <c r="P14" i="1"/>
  <c r="O14" i="1"/>
  <c r="C26" i="3"/>
  <c r="C28" i="3" s="1"/>
  <c r="C20" i="6" s="1"/>
  <c r="C21" i="3"/>
  <c r="C22" i="3" s="1"/>
  <c r="C20" i="5"/>
  <c r="C22" i="5" s="1"/>
  <c r="C29" i="6" s="1"/>
  <c r="G18" i="4"/>
  <c r="G36" i="6" s="1"/>
  <c r="D15" i="5"/>
  <c r="C15" i="5"/>
  <c r="D7" i="5"/>
  <c r="C7" i="5"/>
  <c r="A26" i="1"/>
  <c r="A24" i="1"/>
  <c r="A22" i="1"/>
  <c r="A20" i="1"/>
  <c r="F10" i="7"/>
  <c r="M6" i="1"/>
  <c r="N6" i="1"/>
  <c r="M8" i="1"/>
  <c r="N8" i="1"/>
  <c r="M10" i="1"/>
  <c r="N10" i="1"/>
  <c r="M12" i="1"/>
  <c r="N12" i="1"/>
  <c r="M27" i="1"/>
  <c r="N27" i="1"/>
  <c r="M25" i="1"/>
  <c r="N25" i="1"/>
  <c r="M23" i="1"/>
  <c r="N23" i="1"/>
  <c r="N13" i="4"/>
  <c r="O13" i="4"/>
  <c r="P13" i="4"/>
  <c r="P15" i="4"/>
  <c r="Q13" i="4"/>
  <c r="Q15" i="4"/>
  <c r="N15" i="4"/>
  <c r="O15" i="4"/>
  <c r="I13" i="4"/>
  <c r="F10" i="2"/>
  <c r="B55" i="6" s="1"/>
  <c r="A35" i="6"/>
  <c r="A36" i="6"/>
  <c r="B37" i="6"/>
  <c r="B41" i="6"/>
  <c r="A26" i="6"/>
  <c r="A27" i="6"/>
  <c r="B28" i="6"/>
  <c r="B31" i="6"/>
  <c r="B32" i="6"/>
  <c r="C32" i="6"/>
  <c r="A18" i="6"/>
  <c r="A19" i="6"/>
  <c r="B19" i="6"/>
  <c r="A20" i="6"/>
  <c r="B23" i="6"/>
  <c r="A6" i="6"/>
  <c r="A7" i="6"/>
  <c r="A8" i="6"/>
  <c r="B8" i="6"/>
  <c r="A9" i="6"/>
  <c r="B14" i="6"/>
  <c r="I15" i="4"/>
  <c r="J13" i="4"/>
  <c r="J15" i="4"/>
  <c r="K13" i="4"/>
  <c r="K15" i="4"/>
  <c r="L13" i="4"/>
  <c r="L15" i="4"/>
  <c r="M13" i="4"/>
  <c r="M15" i="4"/>
  <c r="G12" i="4"/>
  <c r="G15" i="4"/>
  <c r="H12" i="4"/>
  <c r="H15" i="4"/>
  <c r="F12" i="4"/>
  <c r="F15" i="4"/>
  <c r="E11" i="4"/>
  <c r="E15" i="4"/>
  <c r="D11" i="4"/>
  <c r="D15" i="4"/>
  <c r="AD30" i="1"/>
  <c r="A47" i="1"/>
  <c r="A10" i="6"/>
  <c r="A37" i="1"/>
  <c r="K26" i="1"/>
  <c r="K27" i="1"/>
  <c r="L26" i="1"/>
  <c r="L27" i="1"/>
  <c r="J26" i="1"/>
  <c r="J27" i="1"/>
  <c r="F26" i="1"/>
  <c r="G26" i="1"/>
  <c r="G27" i="1"/>
  <c r="H26" i="1"/>
  <c r="H27" i="1"/>
  <c r="I26" i="1"/>
  <c r="I27" i="1"/>
  <c r="E26" i="1"/>
  <c r="J24" i="1"/>
  <c r="J25" i="1"/>
  <c r="K24" i="1"/>
  <c r="K25" i="1"/>
  <c r="L24" i="1"/>
  <c r="L25" i="1"/>
  <c r="I24" i="1"/>
  <c r="I25" i="1"/>
  <c r="E24" i="1"/>
  <c r="E25" i="1"/>
  <c r="F24" i="1"/>
  <c r="F25" i="1"/>
  <c r="G24" i="1"/>
  <c r="G25" i="1"/>
  <c r="H24" i="1"/>
  <c r="H25" i="1"/>
  <c r="D24" i="1"/>
  <c r="I22" i="1"/>
  <c r="I23" i="1"/>
  <c r="J22" i="1"/>
  <c r="J23" i="1"/>
  <c r="K22" i="1"/>
  <c r="K23" i="1"/>
  <c r="L22" i="1"/>
  <c r="L23" i="1"/>
  <c r="H22" i="1"/>
  <c r="H23" i="1"/>
  <c r="D22" i="1"/>
  <c r="D23" i="1"/>
  <c r="E22" i="1"/>
  <c r="E23" i="1"/>
  <c r="F22" i="1"/>
  <c r="F23" i="1"/>
  <c r="G22" i="1"/>
  <c r="G23" i="1"/>
  <c r="C22" i="1"/>
  <c r="D20" i="1"/>
  <c r="E20" i="1"/>
  <c r="C20" i="1"/>
  <c r="C21" i="1"/>
  <c r="C30" i="1"/>
  <c r="C37" i="1"/>
  <c r="K12" i="1"/>
  <c r="L12" i="1"/>
  <c r="J12" i="1"/>
  <c r="J10" i="1"/>
  <c r="K10" i="1"/>
  <c r="L10" i="1"/>
  <c r="I10" i="1"/>
  <c r="I8" i="1"/>
  <c r="J8" i="1"/>
  <c r="K8" i="1"/>
  <c r="L8" i="1"/>
  <c r="H8" i="1"/>
  <c r="I11" i="1"/>
  <c r="I12" i="1"/>
  <c r="H11" i="1"/>
  <c r="H12" i="1"/>
  <c r="G11" i="1"/>
  <c r="G12" i="1"/>
  <c r="F11" i="1"/>
  <c r="F12" i="1"/>
  <c r="F14" i="1"/>
  <c r="F47" i="1"/>
  <c r="F10" i="6"/>
  <c r="E11" i="1"/>
  <c r="E12" i="1"/>
  <c r="H9" i="1"/>
  <c r="H10" i="1"/>
  <c r="G9" i="1"/>
  <c r="G10" i="1"/>
  <c r="F9" i="1"/>
  <c r="F10" i="1"/>
  <c r="E9" i="1"/>
  <c r="E10" i="1"/>
  <c r="D9" i="1"/>
  <c r="D10" i="1"/>
  <c r="D14" i="1"/>
  <c r="G7" i="1"/>
  <c r="G8" i="1"/>
  <c r="F7" i="1"/>
  <c r="F8" i="1"/>
  <c r="E7" i="1"/>
  <c r="E8" i="1"/>
  <c r="D7" i="1"/>
  <c r="D8" i="1"/>
  <c r="C7" i="1"/>
  <c r="C8" i="1"/>
  <c r="C14" i="1"/>
  <c r="D6" i="1"/>
  <c r="E6" i="1"/>
  <c r="F6" i="1"/>
  <c r="G6" i="1"/>
  <c r="H6" i="1"/>
  <c r="H14" i="1"/>
  <c r="H47" i="1"/>
  <c r="H10" i="6"/>
  <c r="I6" i="1"/>
  <c r="J6" i="1"/>
  <c r="K6" i="1"/>
  <c r="L6" i="1"/>
  <c r="L14" i="1"/>
  <c r="C6" i="1"/>
  <c r="T5" i="1"/>
  <c r="U5" i="1"/>
  <c r="V5" i="1"/>
  <c r="X5" i="1"/>
  <c r="W5" i="1"/>
  <c r="S5" i="1"/>
  <c r="X4" i="1"/>
  <c r="K20" i="1"/>
  <c r="L20" i="1"/>
  <c r="L21" i="1"/>
  <c r="D21" i="1"/>
  <c r="J21" i="1"/>
  <c r="N20" i="1"/>
  <c r="O20" i="1"/>
  <c r="N21" i="1"/>
  <c r="M21" i="1"/>
  <c r="C10" i="5"/>
  <c r="C9" i="5"/>
  <c r="D10" i="5"/>
  <c r="D9" i="5"/>
  <c r="C12" i="5"/>
  <c r="D12" i="5"/>
  <c r="F27" i="2"/>
  <c r="F40" i="7" s="1"/>
  <c r="F42" i="7" s="1"/>
  <c r="B43" i="6"/>
  <c r="D30" i="1"/>
  <c r="D37" i="1"/>
  <c r="O31" i="1"/>
  <c r="P20" i="1"/>
  <c r="O21" i="1"/>
  <c r="O30" i="1"/>
  <c r="I14" i="1"/>
  <c r="I47" i="1"/>
  <c r="I10" i="6"/>
  <c r="N14" i="1"/>
  <c r="J14" i="1"/>
  <c r="J47" i="1"/>
  <c r="J10" i="6"/>
  <c r="G14" i="1"/>
  <c r="E14" i="1"/>
  <c r="E21" i="1"/>
  <c r="E30" i="1"/>
  <c r="E4" i="3"/>
  <c r="E7" i="3"/>
  <c r="E21" i="3"/>
  <c r="G4" i="5" s="1"/>
  <c r="F20" i="1"/>
  <c r="T8" i="3"/>
  <c r="X3" i="5"/>
  <c r="B14" i="5"/>
  <c r="K21" i="1"/>
  <c r="C4" i="3"/>
  <c r="C7" i="3"/>
  <c r="E4" i="5"/>
  <c r="E5" i="5" s="1"/>
  <c r="K14" i="1"/>
  <c r="K47" i="1"/>
  <c r="K10" i="6"/>
  <c r="K30" i="1"/>
  <c r="K4" i="3"/>
  <c r="K7" i="3"/>
  <c r="J30" i="1"/>
  <c r="J4" i="3"/>
  <c r="J7" i="3"/>
  <c r="J21" i="3"/>
  <c r="L30" i="1"/>
  <c r="L37" i="1"/>
  <c r="D4" i="3"/>
  <c r="D7" i="3"/>
  <c r="D21" i="3"/>
  <c r="D22" i="3" s="1"/>
  <c r="M30" i="1"/>
  <c r="M37" i="1"/>
  <c r="N30" i="1"/>
  <c r="L4" i="3"/>
  <c r="L40" i="1"/>
  <c r="E47" i="1"/>
  <c r="E10" i="6"/>
  <c r="E31" i="1"/>
  <c r="K37" i="1"/>
  <c r="E37" i="1"/>
  <c r="D31" i="1"/>
  <c r="D47" i="1"/>
  <c r="D10" i="6"/>
  <c r="G47" i="1"/>
  <c r="G10" i="6"/>
  <c r="B11" i="5"/>
  <c r="T10" i="3"/>
  <c r="X4" i="5"/>
  <c r="B16" i="5"/>
  <c r="L47" i="1"/>
  <c r="D40" i="1"/>
  <c r="E4" i="4"/>
  <c r="C31" i="1"/>
  <c r="C47" i="1"/>
  <c r="C10" i="6"/>
  <c r="C40" i="1"/>
  <c r="D4" i="4"/>
  <c r="K31" i="1"/>
  <c r="M14" i="1"/>
  <c r="M4" i="4"/>
  <c r="L31" i="1"/>
  <c r="P21" i="1"/>
  <c r="P30" i="1"/>
  <c r="P31" i="1"/>
  <c r="Q20" i="1"/>
  <c r="Q21" i="1"/>
  <c r="Q30" i="1"/>
  <c r="Q31" i="1"/>
  <c r="C14" i="5"/>
  <c r="D14" i="5"/>
  <c r="F21" i="1"/>
  <c r="F30" i="1"/>
  <c r="G20" i="1"/>
  <c r="J37" i="1"/>
  <c r="J31" i="1"/>
  <c r="N31" i="1"/>
  <c r="N37" i="1"/>
  <c r="M40" i="1"/>
  <c r="N4" i="4"/>
  <c r="M31" i="1"/>
  <c r="D11" i="5"/>
  <c r="C11" i="5"/>
  <c r="J40" i="1"/>
  <c r="K4" i="4"/>
  <c r="L7" i="3"/>
  <c r="M4" i="3"/>
  <c r="L10" i="6"/>
  <c r="M47" i="1"/>
  <c r="L4" i="5"/>
  <c r="J22" i="3"/>
  <c r="J16" i="3" s="1"/>
  <c r="C16" i="5"/>
  <c r="C17" i="5"/>
  <c r="D16" i="5"/>
  <c r="D17" i="5"/>
  <c r="F4" i="4"/>
  <c r="E40" i="1"/>
  <c r="K22" i="3"/>
  <c r="K16" i="3" s="1"/>
  <c r="D5" i="4"/>
  <c r="D6" i="4"/>
  <c r="E5" i="4"/>
  <c r="E6" i="4"/>
  <c r="L4" i="4"/>
  <c r="K40" i="1"/>
  <c r="M6" i="4"/>
  <c r="M5" i="4"/>
  <c r="H20" i="1"/>
  <c r="G21" i="1"/>
  <c r="G30" i="1"/>
  <c r="F31" i="1"/>
  <c r="F4" i="3"/>
  <c r="F37" i="1"/>
  <c r="N6" i="4"/>
  <c r="N5" i="4"/>
  <c r="O37" i="1"/>
  <c r="N40" i="1"/>
  <c r="O4" i="4"/>
  <c r="K5" i="4"/>
  <c r="K6" i="4"/>
  <c r="L6" i="4"/>
  <c r="L5" i="4"/>
  <c r="L5" i="5"/>
  <c r="L6" i="5"/>
  <c r="L15" i="5" s="1"/>
  <c r="F5" i="4"/>
  <c r="F6" i="4"/>
  <c r="N4" i="3"/>
  <c r="M7" i="3"/>
  <c r="L11" i="5"/>
  <c r="N47" i="1"/>
  <c r="M10" i="6"/>
  <c r="L7" i="5"/>
  <c r="L10" i="5" s="1"/>
  <c r="L16" i="5" s="1"/>
  <c r="G4" i="3"/>
  <c r="G31" i="1"/>
  <c r="G37" i="1"/>
  <c r="F40" i="1"/>
  <c r="G4" i="4"/>
  <c r="H21" i="1"/>
  <c r="H30" i="1"/>
  <c r="I20" i="1"/>
  <c r="I21" i="1"/>
  <c r="I30" i="1"/>
  <c r="F7" i="3"/>
  <c r="F21" i="3"/>
  <c r="F22" i="3" s="1"/>
  <c r="N40" i="6"/>
  <c r="M5" i="8"/>
  <c r="O5" i="4"/>
  <c r="O6" i="4"/>
  <c r="O40" i="1"/>
  <c r="P4" i="4"/>
  <c r="P37" i="1"/>
  <c r="O47" i="1"/>
  <c r="N10" i="6"/>
  <c r="O4" i="3"/>
  <c r="N7" i="3"/>
  <c r="O40" i="6"/>
  <c r="N5" i="8"/>
  <c r="H4" i="3"/>
  <c r="H31" i="1"/>
  <c r="H37" i="1"/>
  <c r="G40" i="1"/>
  <c r="H4" i="4"/>
  <c r="I31" i="1"/>
  <c r="I37" i="1"/>
  <c r="I4" i="3"/>
  <c r="G5" i="4"/>
  <c r="G6" i="4"/>
  <c r="G7" i="3"/>
  <c r="G21" i="3"/>
  <c r="G22" i="3" s="1"/>
  <c r="P40" i="1"/>
  <c r="Q4" i="4"/>
  <c r="Q37" i="1"/>
  <c r="P6" i="4"/>
  <c r="P5" i="4"/>
  <c r="P4" i="3"/>
  <c r="O7" i="3"/>
  <c r="O10" i="6"/>
  <c r="P47" i="1"/>
  <c r="I40" i="1"/>
  <c r="J4" i="4"/>
  <c r="H40" i="1"/>
  <c r="I4" i="4"/>
  <c r="I4" i="5"/>
  <c r="I5" i="5" s="1"/>
  <c r="H6" i="4"/>
  <c r="H5" i="4"/>
  <c r="I7" i="3"/>
  <c r="I21" i="3"/>
  <c r="I22" i="3" s="1"/>
  <c r="I17" i="3" s="1"/>
  <c r="H7" i="3"/>
  <c r="H21" i="3"/>
  <c r="H22" i="3" s="1"/>
  <c r="Q40" i="1"/>
  <c r="R37" i="1"/>
  <c r="Q5" i="4"/>
  <c r="Q6" i="4"/>
  <c r="P40" i="6"/>
  <c r="O5" i="8"/>
  <c r="Q4" i="3"/>
  <c r="P7" i="3"/>
  <c r="P10" i="6"/>
  <c r="Q47" i="1"/>
  <c r="I5" i="4"/>
  <c r="I6" i="4"/>
  <c r="J6" i="4"/>
  <c r="J5" i="4"/>
  <c r="K4" i="5"/>
  <c r="K5" i="5" s="1"/>
  <c r="R40" i="1"/>
  <c r="S37" i="1"/>
  <c r="Q10" i="6"/>
  <c r="R47" i="1"/>
  <c r="Q7" i="3"/>
  <c r="Q40" i="6"/>
  <c r="T37" i="1"/>
  <c r="S40" i="1"/>
  <c r="S47" i="1"/>
  <c r="U37" i="1"/>
  <c r="T40" i="1"/>
  <c r="T38" i="1"/>
  <c r="T41" i="1" s="1"/>
  <c r="T48" i="1" s="1"/>
  <c r="T50" i="1" s="1"/>
  <c r="T47" i="1"/>
  <c r="U40" i="1"/>
  <c r="V37" i="1"/>
  <c r="U47" i="1"/>
  <c r="V47" i="1"/>
  <c r="W47" i="1"/>
  <c r="X47" i="1"/>
  <c r="Y47" i="1"/>
  <c r="Z47" i="1"/>
  <c r="AA47" i="1"/>
  <c r="AB47" i="1"/>
  <c r="AC47" i="1"/>
  <c r="AD47" i="1"/>
  <c r="AE47" i="1"/>
  <c r="AF47" i="1"/>
  <c r="V40" i="1"/>
  <c r="W37" i="1"/>
  <c r="W40" i="1"/>
  <c r="X37" i="1"/>
  <c r="Y37" i="1"/>
  <c r="X40" i="1"/>
  <c r="Z37" i="1"/>
  <c r="Y38" i="1"/>
  <c r="Y41" i="1" s="1"/>
  <c r="Y48" i="1" s="1"/>
  <c r="Y50" i="1" s="1"/>
  <c r="Y40" i="1"/>
  <c r="Z40" i="1"/>
  <c r="AA37" i="1"/>
  <c r="AB37" i="1"/>
  <c r="AA40" i="1"/>
  <c r="AC37" i="1"/>
  <c r="AB40" i="1"/>
  <c r="AD37" i="1"/>
  <c r="AC40" i="1"/>
  <c r="AD38" i="1"/>
  <c r="AD41" i="1" s="1"/>
  <c r="AD48" i="1" s="1"/>
  <c r="AD50" i="1" s="1"/>
  <c r="AD40" i="1"/>
  <c r="AE37" i="1"/>
  <c r="AF37" i="1"/>
  <c r="AE40" i="1"/>
  <c r="AF40" i="1"/>
  <c r="M40" i="6"/>
  <c r="L5" i="8"/>
  <c r="E18" i="4" l="1"/>
  <c r="E20" i="4" s="1"/>
  <c r="B44" i="1"/>
  <c r="L45" i="1" s="1"/>
  <c r="L8" i="6" s="1"/>
  <c r="B61" i="6"/>
  <c r="L19" i="4"/>
  <c r="L37" i="6" s="1"/>
  <c r="J18" i="4"/>
  <c r="D56" i="6"/>
  <c r="L26" i="3"/>
  <c r="L18" i="6" s="1"/>
  <c r="K20" i="5"/>
  <c r="F26" i="3"/>
  <c r="F28" i="3" s="1"/>
  <c r="F20" i="6" s="1"/>
  <c r="K44" i="1"/>
  <c r="K46" i="1" s="1"/>
  <c r="K9" i="6" s="1"/>
  <c r="B7" i="6"/>
  <c r="I18" i="4"/>
  <c r="I20" i="4" s="1"/>
  <c r="I22" i="4" s="1"/>
  <c r="I40" i="6" s="1"/>
  <c r="H5" i="8" s="1"/>
  <c r="F20" i="5"/>
  <c r="F22" i="5" s="1"/>
  <c r="F29" i="6" s="1"/>
  <c r="E44" i="1"/>
  <c r="E46" i="1" s="1"/>
  <c r="E9" i="6" s="1"/>
  <c r="H20" i="4"/>
  <c r="H36" i="6"/>
  <c r="C24" i="5"/>
  <c r="C31" i="6" s="1"/>
  <c r="B4" i="8" s="1"/>
  <c r="H20" i="5"/>
  <c r="E20" i="5"/>
  <c r="E22" i="5" s="1"/>
  <c r="E29" i="6" s="1"/>
  <c r="I44" i="1"/>
  <c r="D44" i="1"/>
  <c r="C27" i="6"/>
  <c r="E36" i="6"/>
  <c r="K7" i="6"/>
  <c r="K18" i="4"/>
  <c r="K20" i="4" s="1"/>
  <c r="F18" i="4"/>
  <c r="L20" i="5"/>
  <c r="L27" i="6" s="1"/>
  <c r="J20" i="5"/>
  <c r="G20" i="5"/>
  <c r="C44" i="1"/>
  <c r="H44" i="1"/>
  <c r="B50" i="1"/>
  <c r="B13" i="6" s="1"/>
  <c r="B22" i="4"/>
  <c r="B40" i="6" s="1"/>
  <c r="C57" i="6"/>
  <c r="B36" i="6"/>
  <c r="F27" i="6"/>
  <c r="L21" i="5"/>
  <c r="I20" i="5"/>
  <c r="I27" i="6" s="1"/>
  <c r="D20" i="5"/>
  <c r="L44" i="1"/>
  <c r="L7" i="6" s="1"/>
  <c r="G44" i="1"/>
  <c r="G46" i="1" s="1"/>
  <c r="G9" i="6" s="1"/>
  <c r="D58" i="6"/>
  <c r="I38" i="6"/>
  <c r="D18" i="6"/>
  <c r="D28" i="3"/>
  <c r="D20" i="6" s="1"/>
  <c r="B30" i="3"/>
  <c r="B22" i="6" s="1"/>
  <c r="B18" i="6"/>
  <c r="H26" i="3"/>
  <c r="D60" i="6"/>
  <c r="C60" i="6"/>
  <c r="C62" i="6" s="1"/>
  <c r="C64" i="6" s="1"/>
  <c r="E22" i="4"/>
  <c r="E40" i="6" s="1"/>
  <c r="D5" i="8" s="1"/>
  <c r="E38" i="6"/>
  <c r="E26" i="3"/>
  <c r="G26" i="3"/>
  <c r="I26" i="3"/>
  <c r="L27" i="3"/>
  <c r="K26" i="3"/>
  <c r="G20" i="4"/>
  <c r="F18" i="6"/>
  <c r="C18" i="6"/>
  <c r="J26" i="3"/>
  <c r="D18" i="4"/>
  <c r="L18" i="4"/>
  <c r="C18" i="4"/>
  <c r="B27" i="6"/>
  <c r="J44" i="1"/>
  <c r="F44" i="1"/>
  <c r="K6" i="5"/>
  <c r="K15" i="5" s="1"/>
  <c r="F16" i="3"/>
  <c r="F17" i="3"/>
  <c r="D17" i="3"/>
  <c r="D16" i="3"/>
  <c r="G11" i="5"/>
  <c r="G6" i="5"/>
  <c r="G15" i="5" s="1"/>
  <c r="G5" i="5"/>
  <c r="H16" i="3"/>
  <c r="H17" i="3"/>
  <c r="K11" i="5"/>
  <c r="J4" i="5"/>
  <c r="H4" i="5"/>
  <c r="L9" i="5"/>
  <c r="E11" i="5"/>
  <c r="E22" i="3"/>
  <c r="J17" i="3"/>
  <c r="F4" i="5"/>
  <c r="G16" i="3"/>
  <c r="G17" i="3"/>
  <c r="M17" i="3"/>
  <c r="M16" i="3"/>
  <c r="O17" i="3"/>
  <c r="O16" i="3"/>
  <c r="I16" i="3"/>
  <c r="I6" i="5"/>
  <c r="I15" i="5" s="1"/>
  <c r="P16" i="3"/>
  <c r="I7" i="5"/>
  <c r="I11" i="5"/>
  <c r="L22" i="3"/>
  <c r="K17" i="3"/>
  <c r="N16" i="3"/>
  <c r="O4" i="5"/>
  <c r="N11" i="5"/>
  <c r="N6" i="5"/>
  <c r="N5" i="5"/>
  <c r="O5" i="5" s="1"/>
  <c r="P5" i="5" s="1"/>
  <c r="Q5" i="5" s="1"/>
  <c r="C16" i="3"/>
  <c r="C17" i="3"/>
  <c r="Q17" i="3"/>
  <c r="Q16" i="3"/>
  <c r="E6" i="5"/>
  <c r="M5" i="5"/>
  <c r="M6" i="5"/>
  <c r="M15" i="5" s="1"/>
  <c r="K7" i="5"/>
  <c r="M11" i="5"/>
  <c r="AF38" i="1"/>
  <c r="AF41" i="1" s="1"/>
  <c r="AF48" i="1" s="1"/>
  <c r="AF50" i="1" s="1"/>
  <c r="AA38" i="1"/>
  <c r="AA41" i="1" s="1"/>
  <c r="AA48" i="1" s="1"/>
  <c r="AA50" i="1" s="1"/>
  <c r="Q38" i="1"/>
  <c r="Q41" i="1" s="1"/>
  <c r="Q48" i="1" s="1"/>
  <c r="M38" i="1"/>
  <c r="M41" i="1" s="1"/>
  <c r="M48" i="1" s="1"/>
  <c r="O38" i="1"/>
  <c r="O41" i="1" s="1"/>
  <c r="O48" i="1" s="1"/>
  <c r="E38" i="1"/>
  <c r="E41" i="1" s="1"/>
  <c r="E48" i="1" s="1"/>
  <c r="F38" i="1"/>
  <c r="F41" i="1" s="1"/>
  <c r="F48" i="1" s="1"/>
  <c r="G38" i="1"/>
  <c r="G41" i="1" s="1"/>
  <c r="G48" i="1" s="1"/>
  <c r="S38" i="1"/>
  <c r="S41" i="1" s="1"/>
  <c r="S48" i="1" s="1"/>
  <c r="S50" i="1" s="1"/>
  <c r="V38" i="1"/>
  <c r="V41" i="1" s="1"/>
  <c r="V48" i="1" s="1"/>
  <c r="V50" i="1" s="1"/>
  <c r="W38" i="1"/>
  <c r="W41" i="1" s="1"/>
  <c r="W48" i="1" s="1"/>
  <c r="W50" i="1" s="1"/>
  <c r="AB38" i="1"/>
  <c r="AB41" i="1" s="1"/>
  <c r="AB48" i="1" s="1"/>
  <c r="AB50" i="1" s="1"/>
  <c r="AC38" i="1"/>
  <c r="AC41" i="1" s="1"/>
  <c r="AC48" i="1" s="1"/>
  <c r="AC50" i="1" s="1"/>
  <c r="AE38" i="1"/>
  <c r="AE41" i="1" s="1"/>
  <c r="AE48" i="1" s="1"/>
  <c r="AE50" i="1" s="1"/>
  <c r="N38" i="1"/>
  <c r="N41" i="1" s="1"/>
  <c r="N48" i="1" s="1"/>
  <c r="P38" i="1"/>
  <c r="P41" i="1" s="1"/>
  <c r="P48" i="1" s="1"/>
  <c r="L38" i="1"/>
  <c r="L41" i="1" s="1"/>
  <c r="L48" i="1" s="1"/>
  <c r="K38" i="1"/>
  <c r="K41" i="1" s="1"/>
  <c r="K48" i="1" s="1"/>
  <c r="J38" i="1"/>
  <c r="J41" i="1" s="1"/>
  <c r="J48" i="1" s="1"/>
  <c r="I38" i="1"/>
  <c r="I41" i="1" s="1"/>
  <c r="I48" i="1" s="1"/>
  <c r="H38" i="1"/>
  <c r="H41" i="1" s="1"/>
  <c r="H48" i="1" s="1"/>
  <c r="R38" i="1"/>
  <c r="R41" i="1" s="1"/>
  <c r="R48" i="1" s="1"/>
  <c r="R50" i="1" s="1"/>
  <c r="T7" i="3"/>
  <c r="C38" i="1"/>
  <c r="C41" i="1" s="1"/>
  <c r="C48" i="1" s="1"/>
  <c r="D38" i="1"/>
  <c r="D41" i="1" s="1"/>
  <c r="D48" i="1" s="1"/>
  <c r="X38" i="1"/>
  <c r="X41" i="1" s="1"/>
  <c r="X48" i="1" s="1"/>
  <c r="X50" i="1" s="1"/>
  <c r="Z38" i="1"/>
  <c r="Z41" i="1" s="1"/>
  <c r="Z48" i="1" s="1"/>
  <c r="Z50" i="1" s="1"/>
  <c r="I36" i="6" l="1"/>
  <c r="I22" i="5"/>
  <c r="I29" i="6" s="1"/>
  <c r="J20" i="4"/>
  <c r="J36" i="6"/>
  <c r="K22" i="5"/>
  <c r="K29" i="6" s="1"/>
  <c r="K27" i="6"/>
  <c r="E7" i="6"/>
  <c r="L46" i="1"/>
  <c r="L9" i="6" s="1"/>
  <c r="C46" i="1"/>
  <c r="C9" i="6" s="1"/>
  <c r="C7" i="6"/>
  <c r="F36" i="6"/>
  <c r="F20" i="4"/>
  <c r="I46" i="1"/>
  <c r="I9" i="6" s="1"/>
  <c r="I7" i="6"/>
  <c r="D62" i="6"/>
  <c r="D64" i="6" s="1"/>
  <c r="L28" i="6"/>
  <c r="L22" i="5"/>
  <c r="L29" i="6" s="1"/>
  <c r="G22" i="5"/>
  <c r="G29" i="6" s="1"/>
  <c r="G27" i="6"/>
  <c r="H38" i="6"/>
  <c r="H22" i="4"/>
  <c r="H40" i="6" s="1"/>
  <c r="G5" i="8" s="1"/>
  <c r="G7" i="6"/>
  <c r="K36" i="6"/>
  <c r="E27" i="6"/>
  <c r="J22" i="5"/>
  <c r="J29" i="6" s="1"/>
  <c r="J27" i="6"/>
  <c r="H22" i="5"/>
  <c r="H29" i="6" s="1"/>
  <c r="H27" i="6"/>
  <c r="D22" i="5"/>
  <c r="D27" i="6"/>
  <c r="H7" i="6"/>
  <c r="H46" i="1"/>
  <c r="H9" i="6" s="1"/>
  <c r="D7" i="6"/>
  <c r="D46" i="1"/>
  <c r="D9" i="6" s="1"/>
  <c r="D65" i="6"/>
  <c r="C6" i="8" s="1"/>
  <c r="I28" i="3"/>
  <c r="I20" i="6" s="1"/>
  <c r="I18" i="6"/>
  <c r="J46" i="1"/>
  <c r="J9" i="6" s="1"/>
  <c r="J7" i="6"/>
  <c r="L20" i="4"/>
  <c r="L36" i="6"/>
  <c r="G28" i="3"/>
  <c r="G20" i="6" s="1"/>
  <c r="G18" i="6"/>
  <c r="H18" i="6"/>
  <c r="H28" i="3"/>
  <c r="H20" i="6" s="1"/>
  <c r="F46" i="1"/>
  <c r="F9" i="6" s="1"/>
  <c r="F7" i="6"/>
  <c r="C20" i="4"/>
  <c r="C36" i="6"/>
  <c r="D20" i="4"/>
  <c r="D36" i="6"/>
  <c r="K18" i="6"/>
  <c r="K28" i="3"/>
  <c r="K20" i="6" s="1"/>
  <c r="E28" i="3"/>
  <c r="E20" i="6" s="1"/>
  <c r="E18" i="6"/>
  <c r="K22" i="4"/>
  <c r="K40" i="6" s="1"/>
  <c r="J5" i="8" s="1"/>
  <c r="K38" i="6"/>
  <c r="J28" i="3"/>
  <c r="J20" i="6" s="1"/>
  <c r="J18" i="6"/>
  <c r="G22" i="4"/>
  <c r="G40" i="6" s="1"/>
  <c r="F5" i="8" s="1"/>
  <c r="G38" i="6"/>
  <c r="L19" i="6"/>
  <c r="L28" i="3"/>
  <c r="L20" i="6" s="1"/>
  <c r="H11" i="5"/>
  <c r="H5" i="5"/>
  <c r="H6" i="5"/>
  <c r="H15" i="5" s="1"/>
  <c r="E17" i="3"/>
  <c r="E16" i="3"/>
  <c r="J6" i="5"/>
  <c r="J5" i="5"/>
  <c r="J11" i="5"/>
  <c r="G7" i="5"/>
  <c r="N7" i="5"/>
  <c r="F11" i="5"/>
  <c r="F7" i="5"/>
  <c r="F6" i="5"/>
  <c r="F15" i="5" s="1"/>
  <c r="F5" i="5"/>
  <c r="L14" i="5"/>
  <c r="L17" i="5" s="1"/>
  <c r="L12" i="5"/>
  <c r="L17" i="3"/>
  <c r="L16" i="3"/>
  <c r="H7" i="5"/>
  <c r="I10" i="5"/>
  <c r="I16" i="5" s="1"/>
  <c r="I9" i="5"/>
  <c r="N10" i="5"/>
  <c r="N16" i="5" s="1"/>
  <c r="N9" i="5"/>
  <c r="O11" i="5"/>
  <c r="P4" i="5"/>
  <c r="O6" i="5"/>
  <c r="N15" i="5"/>
  <c r="E15" i="5"/>
  <c r="E7" i="5"/>
  <c r="M7" i="5"/>
  <c r="K10" i="5"/>
  <c r="K16" i="5" s="1"/>
  <c r="K9" i="5"/>
  <c r="K11" i="6"/>
  <c r="K50" i="1"/>
  <c r="K13" i="6" s="1"/>
  <c r="J2" i="8" s="1"/>
  <c r="E11" i="6"/>
  <c r="E50" i="1"/>
  <c r="E13" i="6" s="1"/>
  <c r="D2" i="8" s="1"/>
  <c r="H11" i="6"/>
  <c r="L11" i="6"/>
  <c r="O50" i="1"/>
  <c r="O13" i="6" s="1"/>
  <c r="N2" i="8" s="1"/>
  <c r="O11" i="6"/>
  <c r="C11" i="6"/>
  <c r="C50" i="1"/>
  <c r="I50" i="1"/>
  <c r="I13" i="6" s="1"/>
  <c r="H2" i="8" s="1"/>
  <c r="I11" i="6"/>
  <c r="P50" i="1"/>
  <c r="P13" i="6" s="1"/>
  <c r="O2" i="8" s="1"/>
  <c r="P11" i="6"/>
  <c r="G11" i="6"/>
  <c r="G50" i="1"/>
  <c r="G13" i="6" s="1"/>
  <c r="F2" i="8" s="1"/>
  <c r="M11" i="6"/>
  <c r="M50" i="1"/>
  <c r="M13" i="6" s="1"/>
  <c r="L2" i="8" s="1"/>
  <c r="D50" i="1"/>
  <c r="D11" i="6"/>
  <c r="Q12" i="3"/>
  <c r="M12" i="3"/>
  <c r="N11" i="3"/>
  <c r="E11" i="3"/>
  <c r="H12" i="3"/>
  <c r="L12" i="3"/>
  <c r="F11" i="3"/>
  <c r="Q11" i="3"/>
  <c r="M11" i="3"/>
  <c r="P12" i="3"/>
  <c r="L11" i="3"/>
  <c r="D12" i="3"/>
  <c r="D11" i="3"/>
  <c r="B11" i="3"/>
  <c r="G11" i="3"/>
  <c r="H11" i="3"/>
  <c r="O12" i="3"/>
  <c r="P11" i="3"/>
  <c r="C12" i="3"/>
  <c r="J11" i="3"/>
  <c r="K12" i="3"/>
  <c r="F12" i="3"/>
  <c r="F13" i="3" s="1"/>
  <c r="F23" i="3" s="1"/>
  <c r="F30" i="3" s="1"/>
  <c r="F22" i="6" s="1"/>
  <c r="G12" i="3"/>
  <c r="G13" i="3" s="1"/>
  <c r="G23" i="3" s="1"/>
  <c r="N12" i="3"/>
  <c r="N13" i="3" s="1"/>
  <c r="N23" i="3" s="1"/>
  <c r="N30" i="3" s="1"/>
  <c r="N22" i="6" s="1"/>
  <c r="O11" i="3"/>
  <c r="C11" i="3"/>
  <c r="I12" i="3"/>
  <c r="K11" i="3"/>
  <c r="E12" i="3"/>
  <c r="B12" i="3"/>
  <c r="J12" i="3"/>
  <c r="I11" i="3"/>
  <c r="J11" i="6"/>
  <c r="N50" i="1"/>
  <c r="N13" i="6" s="1"/>
  <c r="M2" i="8" s="1"/>
  <c r="N11" i="6"/>
  <c r="F50" i="1"/>
  <c r="F13" i="6" s="1"/>
  <c r="E2" i="8" s="1"/>
  <c r="F11" i="6"/>
  <c r="Q50" i="1"/>
  <c r="Q13" i="6" s="1"/>
  <c r="P2" i="8" s="1"/>
  <c r="Q11" i="6"/>
  <c r="J22" i="4" l="1"/>
  <c r="J40" i="6" s="1"/>
  <c r="I5" i="8" s="1"/>
  <c r="J38" i="6"/>
  <c r="L50" i="1"/>
  <c r="L13" i="6" s="1"/>
  <c r="K2" i="8" s="1"/>
  <c r="F22" i="4"/>
  <c r="F40" i="6" s="1"/>
  <c r="E5" i="8" s="1"/>
  <c r="F38" i="6"/>
  <c r="H50" i="1"/>
  <c r="H13" i="6" s="1"/>
  <c r="G2" i="8" s="1"/>
  <c r="G30" i="3"/>
  <c r="G22" i="6" s="1"/>
  <c r="J50" i="1"/>
  <c r="J13" i="6" s="1"/>
  <c r="I2" i="8" s="1"/>
  <c r="D29" i="6"/>
  <c r="D24" i="5"/>
  <c r="L38" i="6"/>
  <c r="L22" i="4"/>
  <c r="L40" i="6" s="1"/>
  <c r="K5" i="8" s="1"/>
  <c r="E65" i="6"/>
  <c r="D6" i="8" s="1"/>
  <c r="E64" i="6"/>
  <c r="C22" i="4"/>
  <c r="C38" i="6"/>
  <c r="D22" i="4"/>
  <c r="D38" i="6"/>
  <c r="F10" i="5"/>
  <c r="F16" i="5" s="1"/>
  <c r="F9" i="5"/>
  <c r="L24" i="5"/>
  <c r="L31" i="6" s="1"/>
  <c r="K4" i="8" s="1"/>
  <c r="J7" i="5"/>
  <c r="J15" i="5"/>
  <c r="G9" i="5"/>
  <c r="G10" i="5"/>
  <c r="G16" i="5" s="1"/>
  <c r="H9" i="5"/>
  <c r="H10" i="5"/>
  <c r="H16" i="5" s="1"/>
  <c r="I12" i="5"/>
  <c r="I14" i="5"/>
  <c r="I17" i="5" s="1"/>
  <c r="P11" i="5"/>
  <c r="Q4" i="5"/>
  <c r="M10" i="5"/>
  <c r="M16" i="5" s="1"/>
  <c r="M9" i="5"/>
  <c r="N14" i="5"/>
  <c r="N17" i="5" s="1"/>
  <c r="N12" i="5"/>
  <c r="K14" i="5"/>
  <c r="K17" i="5" s="1"/>
  <c r="K12" i="5"/>
  <c r="P6" i="5"/>
  <c r="O15" i="5"/>
  <c r="E9" i="5"/>
  <c r="E10" i="5"/>
  <c r="E16" i="5" s="1"/>
  <c r="O7" i="5"/>
  <c r="E13" i="3"/>
  <c r="E23" i="3" s="1"/>
  <c r="E30" i="3" s="1"/>
  <c r="E22" i="6" s="1"/>
  <c r="D3" i="8" s="1"/>
  <c r="J13" i="3"/>
  <c r="J23" i="3" s="1"/>
  <c r="J30" i="3" s="1"/>
  <c r="J22" i="6" s="1"/>
  <c r="I3" i="8" s="1"/>
  <c r="I13" i="3"/>
  <c r="I23" i="3" s="1"/>
  <c r="I30" i="3" s="1"/>
  <c r="I22" i="6" s="1"/>
  <c r="E3" i="8"/>
  <c r="P13" i="3"/>
  <c r="P23" i="3" s="1"/>
  <c r="P30" i="3" s="1"/>
  <c r="P22" i="6" s="1"/>
  <c r="L13" i="3"/>
  <c r="L23" i="3" s="1"/>
  <c r="L30" i="3" s="1"/>
  <c r="L22" i="6" s="1"/>
  <c r="M13" i="3"/>
  <c r="M23" i="3" s="1"/>
  <c r="M30" i="3" s="1"/>
  <c r="M22" i="6" s="1"/>
  <c r="C13" i="6"/>
  <c r="B2" i="8" s="1"/>
  <c r="K13" i="3"/>
  <c r="K23" i="3" s="1"/>
  <c r="K30" i="3" s="1"/>
  <c r="K22" i="6" s="1"/>
  <c r="O13" i="3"/>
  <c r="O23" i="3" s="1"/>
  <c r="O30" i="3" s="1"/>
  <c r="O22" i="6" s="1"/>
  <c r="H13" i="3"/>
  <c r="H23" i="3" s="1"/>
  <c r="H30" i="3" s="1"/>
  <c r="H22" i="6" s="1"/>
  <c r="Q13" i="3"/>
  <c r="Q23" i="3" s="1"/>
  <c r="Q30" i="3" s="1"/>
  <c r="Q22" i="6" s="1"/>
  <c r="M3" i="8"/>
  <c r="D13" i="3"/>
  <c r="D23" i="3" s="1"/>
  <c r="D30" i="3" s="1"/>
  <c r="D22" i="6" s="1"/>
  <c r="F3" i="8"/>
  <c r="C13" i="3"/>
  <c r="C23" i="3" s="1"/>
  <c r="C30" i="3" s="1"/>
  <c r="D13" i="6"/>
  <c r="C2" i="8" s="1"/>
  <c r="D51" i="1"/>
  <c r="B54" i="1" l="1"/>
  <c r="I9" i="7" s="1"/>
  <c r="D31" i="6"/>
  <c r="C4" i="8" s="1"/>
  <c r="D25" i="5"/>
  <c r="D32" i="6" s="1"/>
  <c r="F65" i="6"/>
  <c r="E6" i="8" s="1"/>
  <c r="F64" i="6"/>
  <c r="E23" i="4"/>
  <c r="D40" i="6"/>
  <c r="C5" i="8" s="1"/>
  <c r="D23" i="4"/>
  <c r="B26" i="4"/>
  <c r="J9" i="5"/>
  <c r="J10" i="5"/>
  <c r="J16" i="5" s="1"/>
  <c r="G14" i="5"/>
  <c r="G17" i="5" s="1"/>
  <c r="G12" i="5"/>
  <c r="F14" i="5"/>
  <c r="F17" i="5" s="1"/>
  <c r="F12" i="5"/>
  <c r="I24" i="5"/>
  <c r="I31" i="6" s="1"/>
  <c r="H4" i="8" s="1"/>
  <c r="H12" i="5"/>
  <c r="H14" i="5"/>
  <c r="H17" i="5" s="1"/>
  <c r="Q11" i="5"/>
  <c r="O10" i="5"/>
  <c r="O16" i="5" s="1"/>
  <c r="O9" i="5"/>
  <c r="Q6" i="5"/>
  <c r="Q15" i="5" s="1"/>
  <c r="P15" i="5"/>
  <c r="N24" i="5"/>
  <c r="N31" i="6" s="1"/>
  <c r="M14" i="5"/>
  <c r="M17" i="5" s="1"/>
  <c r="M12" i="5"/>
  <c r="P7" i="5"/>
  <c r="E14" i="5"/>
  <c r="E17" i="5" s="1"/>
  <c r="E12" i="5"/>
  <c r="K24" i="5"/>
  <c r="K31" i="6" s="1"/>
  <c r="J4" i="8" s="1"/>
  <c r="H3" i="8"/>
  <c r="L43" i="6"/>
  <c r="K3" i="8"/>
  <c r="K7" i="8" s="1"/>
  <c r="D14" i="6"/>
  <c r="E51" i="1"/>
  <c r="G3" i="8"/>
  <c r="C3" i="8"/>
  <c r="C7" i="8" s="1"/>
  <c r="N3" i="8"/>
  <c r="O3" i="8"/>
  <c r="C22" i="6"/>
  <c r="B34" i="3"/>
  <c r="D31" i="3"/>
  <c r="J3" i="8"/>
  <c r="P3" i="8"/>
  <c r="L3" i="8"/>
  <c r="J7" i="8" l="1"/>
  <c r="D47" i="6"/>
  <c r="D43" i="6"/>
  <c r="F23" i="4"/>
  <c r="D41" i="6"/>
  <c r="G65" i="6"/>
  <c r="F6" i="8" s="1"/>
  <c r="G64" i="6"/>
  <c r="G47" i="6"/>
  <c r="I35" i="7"/>
  <c r="F24" i="5"/>
  <c r="F31" i="6" s="1"/>
  <c r="E4" i="8" s="1"/>
  <c r="E7" i="8" s="1"/>
  <c r="H24" i="5"/>
  <c r="H31" i="6" s="1"/>
  <c r="G4" i="8" s="1"/>
  <c r="G24" i="5"/>
  <c r="G31" i="6" s="1"/>
  <c r="J14" i="5"/>
  <c r="J17" i="5" s="1"/>
  <c r="J12" i="5"/>
  <c r="K43" i="6"/>
  <c r="I43" i="6"/>
  <c r="P10" i="5"/>
  <c r="P16" i="5" s="1"/>
  <c r="P9" i="5"/>
  <c r="Q7" i="5"/>
  <c r="M4" i="8"/>
  <c r="N43" i="6"/>
  <c r="E24" i="5"/>
  <c r="M24" i="5"/>
  <c r="M31" i="6" s="1"/>
  <c r="O14" i="5"/>
  <c r="O17" i="5" s="1"/>
  <c r="O12" i="5"/>
  <c r="I18" i="7"/>
  <c r="E47" i="6"/>
  <c r="F51" i="1"/>
  <c r="E14" i="6"/>
  <c r="E31" i="3"/>
  <c r="D23" i="6"/>
  <c r="C43" i="6"/>
  <c r="B3" i="8"/>
  <c r="B7" i="8" s="1"/>
  <c r="H43" i="6" l="1"/>
  <c r="D44" i="6"/>
  <c r="E41" i="6"/>
  <c r="G23" i="4"/>
  <c r="H65" i="6"/>
  <c r="G6" i="8" s="1"/>
  <c r="G7" i="8" s="1"/>
  <c r="H64" i="6"/>
  <c r="O24" i="5"/>
  <c r="O31" i="6" s="1"/>
  <c r="F43" i="6"/>
  <c r="J24" i="5"/>
  <c r="J31" i="6" s="1"/>
  <c r="I4" i="8" s="1"/>
  <c r="I7" i="8" s="1"/>
  <c r="F4" i="8"/>
  <c r="F7" i="8" s="1"/>
  <c r="G43" i="6"/>
  <c r="N4" i="8"/>
  <c r="O43" i="6"/>
  <c r="L4" i="8"/>
  <c r="M43" i="6"/>
  <c r="P14" i="5"/>
  <c r="P17" i="5" s="1"/>
  <c r="P12" i="5"/>
  <c r="E31" i="6"/>
  <c r="E25" i="5"/>
  <c r="Q9" i="5"/>
  <c r="Q10" i="5"/>
  <c r="Q16" i="5" s="1"/>
  <c r="G51" i="1"/>
  <c r="F14" i="6"/>
  <c r="F31" i="3"/>
  <c r="E23" i="6"/>
  <c r="I65" i="6" l="1"/>
  <c r="H6" i="8" s="1"/>
  <c r="H7" i="8" s="1"/>
  <c r="I64" i="6"/>
  <c r="J43" i="6"/>
  <c r="F41" i="6"/>
  <c r="H23" i="4"/>
  <c r="Q14" i="5"/>
  <c r="Q17" i="5" s="1"/>
  <c r="Q12" i="5"/>
  <c r="E32" i="6"/>
  <c r="E44" i="6" s="1"/>
  <c r="F25" i="5"/>
  <c r="P24" i="5"/>
  <c r="D4" i="8"/>
  <c r="D7" i="8" s="1"/>
  <c r="E43" i="6"/>
  <c r="F23" i="6"/>
  <c r="G31" i="3"/>
  <c r="H51" i="1"/>
  <c r="G14" i="6"/>
  <c r="I23" i="4" l="1"/>
  <c r="G41" i="6"/>
  <c r="Q24" i="5"/>
  <c r="Q31" i="6" s="1"/>
  <c r="P4" i="8" s="1"/>
  <c r="P31" i="6"/>
  <c r="A28" i="5"/>
  <c r="Q43" i="6"/>
  <c r="F32" i="6"/>
  <c r="F44" i="6" s="1"/>
  <c r="G25" i="5"/>
  <c r="H14" i="6"/>
  <c r="I51" i="1"/>
  <c r="G23" i="6"/>
  <c r="H31" i="3"/>
  <c r="J23" i="4" l="1"/>
  <c r="H41" i="6"/>
  <c r="H25" i="5"/>
  <c r="G32" i="6"/>
  <c r="G44" i="6" s="1"/>
  <c r="F47" i="6"/>
  <c r="H47" i="6" s="1"/>
  <c r="B47" i="6" s="1"/>
  <c r="I24" i="7"/>
  <c r="O4" i="8"/>
  <c r="P43" i="6"/>
  <c r="B46" i="6" s="1"/>
  <c r="H23" i="6"/>
  <c r="I31" i="3"/>
  <c r="I14" i="6"/>
  <c r="J51" i="1"/>
  <c r="I41" i="6" l="1"/>
  <c r="K23" i="4"/>
  <c r="H32" i="6"/>
  <c r="H44" i="6" s="1"/>
  <c r="I25" i="5"/>
  <c r="J31" i="3"/>
  <c r="I23" i="6"/>
  <c r="J14" i="6"/>
  <c r="K51" i="1"/>
  <c r="L23" i="4" l="1"/>
  <c r="J41" i="6"/>
  <c r="I32" i="6"/>
  <c r="I44" i="6" s="1"/>
  <c r="J25" i="5"/>
  <c r="K14" i="6"/>
  <c r="L51" i="1"/>
  <c r="K31" i="3"/>
  <c r="J23" i="6"/>
  <c r="K41" i="6" l="1"/>
  <c r="M23" i="4"/>
  <c r="K25" i="5"/>
  <c r="J32" i="6"/>
  <c r="J44" i="6" s="1"/>
  <c r="K23" i="6"/>
  <c r="L31" i="3"/>
  <c r="M51" i="1"/>
  <c r="L14" i="6"/>
  <c r="L41" i="6" l="1"/>
  <c r="N23" i="4"/>
  <c r="L25" i="5"/>
  <c r="K32" i="6"/>
  <c r="K44" i="6" s="1"/>
  <c r="L23" i="6"/>
  <c r="M31" i="3"/>
  <c r="N51" i="1"/>
  <c r="M14" i="6"/>
  <c r="M41" i="6" l="1"/>
  <c r="O23" i="4"/>
  <c r="L32" i="6"/>
  <c r="L44" i="6" s="1"/>
  <c r="M25" i="5"/>
  <c r="N31" i="3"/>
  <c r="M23" i="6"/>
  <c r="O51" i="1"/>
  <c r="N14" i="6"/>
  <c r="N41" i="6" l="1"/>
  <c r="P23" i="4"/>
  <c r="N25" i="5"/>
  <c r="M32" i="6"/>
  <c r="M44" i="6" s="1"/>
  <c r="O14" i="6"/>
  <c r="P51" i="1"/>
  <c r="O31" i="3"/>
  <c r="N23" i="6"/>
  <c r="Q23" i="4" l="1"/>
  <c r="P41" i="6" s="1"/>
  <c r="O41" i="6"/>
  <c r="N32" i="6"/>
  <c r="N44" i="6" s="1"/>
  <c r="O25" i="5"/>
  <c r="P31" i="3"/>
  <c r="O23" i="6"/>
  <c r="Q51" i="1"/>
  <c r="P14" i="6"/>
  <c r="P25" i="5" l="1"/>
  <c r="O32" i="6"/>
  <c r="O44" i="6" s="1"/>
  <c r="R51" i="1"/>
  <c r="S51" i="1" s="1"/>
  <c r="T51" i="1" s="1"/>
  <c r="U51" i="1" s="1"/>
  <c r="V51" i="1" s="1"/>
  <c r="W51" i="1" s="1"/>
  <c r="X51" i="1" s="1"/>
  <c r="Y51" i="1" s="1"/>
  <c r="Z51" i="1" s="1"/>
  <c r="AA51" i="1" s="1"/>
  <c r="AB51" i="1" s="1"/>
  <c r="AC51" i="1" s="1"/>
  <c r="AD51" i="1" s="1"/>
  <c r="AE51" i="1" s="1"/>
  <c r="AF51" i="1" s="1"/>
  <c r="Q14" i="6"/>
  <c r="Q31" i="3"/>
  <c r="Q23" i="6" s="1"/>
  <c r="P23" i="6"/>
  <c r="Q25" i="5" l="1"/>
  <c r="Q32" i="6" s="1"/>
  <c r="Q44" i="6" s="1"/>
  <c r="P32" i="6"/>
  <c r="P44" i="6" s="1"/>
</calcChain>
</file>

<file path=xl/sharedStrings.xml><?xml version="1.0" encoding="utf-8"?>
<sst xmlns="http://schemas.openxmlformats.org/spreadsheetml/2006/main" count="221" uniqueCount="157">
  <si>
    <t>Total Investment</t>
  </si>
  <si>
    <t>Purchase of the Farm</t>
  </si>
  <si>
    <t>Average Cost / Hectare</t>
  </si>
  <si>
    <t># Hectares</t>
  </si>
  <si>
    <t>A</t>
  </si>
  <si>
    <t>New Planting of Plam Trees</t>
  </si>
  <si>
    <t>B</t>
  </si>
  <si>
    <t>Extraction Mill</t>
  </si>
  <si>
    <t>C</t>
  </si>
  <si>
    <t>Working Capital</t>
  </si>
  <si>
    <t>D</t>
  </si>
  <si>
    <t>Palm Oil Refinery and Fractioning Plant</t>
  </si>
  <si>
    <t>Capacity of 400 TM/day</t>
  </si>
  <si>
    <t>E</t>
  </si>
  <si>
    <t>F</t>
  </si>
  <si>
    <t>Biomass Unit Generation</t>
  </si>
  <si>
    <t>Generation with Biogas</t>
  </si>
  <si>
    <t>Production Plant of Brikets of Biomass</t>
  </si>
  <si>
    <t>G</t>
  </si>
  <si>
    <t>H</t>
  </si>
  <si>
    <t>Premises</t>
  </si>
  <si>
    <t>The Farm is processing all its production in the current mill, in bad shape.</t>
  </si>
  <si>
    <t>The international price of Crude Palm Oil determines the price of the FFB by 17% of its value per MT.</t>
  </si>
  <si>
    <t>The Price of the CPO used in this model is the average of the last 10 years.</t>
  </si>
  <si>
    <t>IRR</t>
  </si>
  <si>
    <t>To this business unit it is charged the cost of the land and the cost of the new plantations of palm oil.</t>
  </si>
  <si>
    <t>To calculate the finantials of the plantation 15 years of the operation was considered, which is 50% of the life spam of the palm plantation.</t>
  </si>
  <si>
    <t>The majority of the farm will have 30 years of production</t>
  </si>
  <si>
    <t>The IRR was calculated in a 30 year plan.</t>
  </si>
  <si>
    <t>The oil extraction mill could operate only with own fruit from the farm, nevertheless if local farms get certified we could buy </t>
  </si>
  <si>
    <t>There is no own land for this unit, the farm is the owner of all the land.</t>
  </si>
  <si>
    <t>This Unit will be in charge of selling all the oil that is produced by the mill and the refinery, so we can assure 100% tracebility.</t>
  </si>
  <si>
    <t>It´s location is in the middle of the plantation.</t>
  </si>
  <si>
    <t xml:space="preserve">The savings on the purchase and use of Diesel will be because there a state of the arte water steam unit, named Kleyton. </t>
  </si>
  <si>
    <t>The other saving will be because of the use of Biomass.</t>
  </si>
  <si>
    <t>This unit is one of a kind in Ecuador, will produce Energy from the Biomass of the efluent pools and the biomass from the fruit,</t>
  </si>
  <si>
    <t>these two units will also produce steam for the use of the mills and the refinery.</t>
  </si>
  <si>
    <t>This unit will sell biomass brikets to industry in the region.</t>
  </si>
  <si>
    <t xml:space="preserve">This finantial structure is charged to the Biomass Unit.  </t>
  </si>
  <si>
    <t>Palm Oil Farm</t>
  </si>
  <si>
    <t>Cost Of Planting Palm Oil / Hectare</t>
  </si>
  <si>
    <t>Years</t>
  </si>
  <si>
    <t>used in 5 years</t>
  </si>
  <si>
    <t>Costs &amp; Expensses</t>
  </si>
  <si>
    <t>Year 1</t>
  </si>
  <si>
    <t>Year 2</t>
  </si>
  <si>
    <t>Year 3</t>
  </si>
  <si>
    <t>Year 4</t>
  </si>
  <si>
    <t>Year 5</t>
  </si>
  <si>
    <t># of hectares</t>
  </si>
  <si>
    <t>Existent Plantation</t>
  </si>
  <si>
    <t>Mantainance, Fertilization, Administrative costos per Year of a Mature Hectare of Palm Oil Plantation</t>
  </si>
  <si>
    <t>New Plantation 1st Stage</t>
  </si>
  <si>
    <t>New Plantation 2nd Stage</t>
  </si>
  <si>
    <t>New Plantation 3rd Stage</t>
  </si>
  <si>
    <t>Total Costs &amp; Expensses</t>
  </si>
  <si>
    <t>New Plantation</t>
  </si>
  <si>
    <t>Años</t>
  </si>
  <si>
    <t>Production Yiels in MT</t>
  </si>
  <si>
    <t>Mature Plantation</t>
  </si>
  <si>
    <t>P. en MT</t>
  </si>
  <si>
    <t>Year 6</t>
  </si>
  <si>
    <t>Year 7</t>
  </si>
  <si>
    <t>Year 8</t>
  </si>
  <si>
    <t>Year 9</t>
  </si>
  <si>
    <t>Year 10</t>
  </si>
  <si>
    <t>Production in MT</t>
  </si>
  <si>
    <t>Price for MT of FFB</t>
  </si>
  <si>
    <t xml:space="preserve">Average for the past </t>
  </si>
  <si>
    <t>Producción en MT</t>
  </si>
  <si>
    <t>10 years</t>
  </si>
  <si>
    <t>Total Producion in MT</t>
  </si>
  <si>
    <t>Cost of Production/ MT</t>
  </si>
  <si>
    <t>INCOME</t>
  </si>
  <si>
    <t>Price of FFB Mt</t>
  </si>
  <si>
    <t>Sale of Teak</t>
  </si>
  <si>
    <t>Biomass Extra Payment</t>
  </si>
  <si>
    <t>Cash Flow</t>
  </si>
  <si>
    <t>Cost of Credit</t>
  </si>
  <si>
    <t>Total Sales</t>
  </si>
  <si>
    <t>Reserves</t>
  </si>
  <si>
    <t>Discount Rate</t>
  </si>
  <si>
    <t>Production Yields</t>
  </si>
  <si>
    <t>Source of FFB</t>
  </si>
  <si>
    <t>Own Farm</t>
  </si>
  <si>
    <t>Third Parties</t>
  </si>
  <si>
    <t>Total FFB in MT</t>
  </si>
  <si>
    <t>Price FFB MT</t>
  </si>
  <si>
    <t>this prices are based on an average of the last decade.</t>
  </si>
  <si>
    <t>Price CPO TM</t>
  </si>
  <si>
    <t>Costs &amp; Expenses</t>
  </si>
  <si>
    <t>Price PKO TM</t>
  </si>
  <si>
    <t>FFB Own Farm</t>
  </si>
  <si>
    <t>FFB Thrid Parties</t>
  </si>
  <si>
    <t>Costo of Raw Material</t>
  </si>
  <si>
    <t>FFBxPrice MT</t>
  </si>
  <si>
    <t>Based on 17% of the MT Price of CPO</t>
  </si>
  <si>
    <t>Administrative Costs</t>
  </si>
  <si>
    <t>Production Costs</t>
  </si>
  <si>
    <t>Income</t>
  </si>
  <si>
    <t xml:space="preserve"> </t>
  </si>
  <si>
    <t>CPO Production</t>
  </si>
  <si>
    <t>Extraction Ratio</t>
  </si>
  <si>
    <t>Refinary</t>
  </si>
  <si>
    <t>Palm Olein Price</t>
  </si>
  <si>
    <t>+</t>
  </si>
  <si>
    <t>CPO Price</t>
  </si>
  <si>
    <t>=</t>
  </si>
  <si>
    <t>CPO</t>
  </si>
  <si>
    <t>Palm Stearin Price</t>
  </si>
  <si>
    <t>loss</t>
  </si>
  <si>
    <t>faty acids</t>
  </si>
  <si>
    <t>Palm Oil Olein</t>
  </si>
  <si>
    <t>Palm Oil Stearin</t>
  </si>
  <si>
    <t>Raw Material Cost (CPO)</t>
  </si>
  <si>
    <t>Cost of Refining RBD per MT</t>
  </si>
  <si>
    <t>Oil Sales</t>
  </si>
  <si>
    <t>Faty Acids Sales</t>
  </si>
  <si>
    <t>Stearin Sales</t>
  </si>
  <si>
    <t>Gross Sales</t>
  </si>
  <si>
    <t>BIOMASS</t>
  </si>
  <si>
    <t>Biomas From FFB</t>
  </si>
  <si>
    <t>Cost of Production</t>
  </si>
  <si>
    <t>Sales Price</t>
  </si>
  <si>
    <t>Biomas From Biodigestor</t>
  </si>
  <si>
    <t>Cost of KWH</t>
  </si>
  <si>
    <t>Cost Of Credit</t>
  </si>
  <si>
    <t>% de Descuento</t>
  </si>
  <si>
    <t>A. B. Farm</t>
  </si>
  <si>
    <t>C. D. Extraction Mill</t>
  </si>
  <si>
    <t>E.F. Refinery</t>
  </si>
  <si>
    <t>G. Biomass</t>
  </si>
  <si>
    <t>NWV</t>
  </si>
  <si>
    <t>A B Farm</t>
  </si>
  <si>
    <t>C D Extraction Mill</t>
  </si>
  <si>
    <t>E F Refinery</t>
  </si>
  <si>
    <t>G Biomass</t>
  </si>
  <si>
    <t>Average</t>
  </si>
  <si>
    <t>Finca</t>
  </si>
  <si>
    <t>Extractora</t>
  </si>
  <si>
    <t>Refinería</t>
  </si>
  <si>
    <t>Biomasa</t>
  </si>
  <si>
    <t>Total</t>
  </si>
  <si>
    <t>EN RESERVA</t>
  </si>
  <si>
    <t>polizas al 20%</t>
  </si>
  <si>
    <t>en casa de valores</t>
  </si>
  <si>
    <t>Invern. Financiera</t>
  </si>
  <si>
    <t>Animal Purchase Financing for Employees 4%</t>
  </si>
  <si>
    <t>Trust Fees and Finantial Expenses 2%</t>
  </si>
  <si>
    <t>Project Costs and Expenses to date 6%</t>
  </si>
  <si>
    <t>Total 12%</t>
  </si>
  <si>
    <t>A+B+C+D+E+F+G+H</t>
  </si>
  <si>
    <t>Finance Fees, Costs and Animal Purchase</t>
  </si>
  <si>
    <t>The total amount of fruit produced per year is 64,000MT of FFB to this present date</t>
  </si>
  <si>
    <t>their fruit and process it.</t>
  </si>
  <si>
    <t>The selling price of the palm kernel fruit is NOT calculated in this excercise since it is very small on the type of palm used for this project</t>
  </si>
  <si>
    <t xml:space="preserve">The discount rate used for the whole project is 9,5%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</si>
</sst>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;[Red]&quot;$&quot;\-#,##0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&quot;$&quot;#,##0.00"/>
    <numFmt numFmtId="165" formatCode="##&quot;mt&quot;"/>
    <numFmt numFmtId="166" formatCode="###,###&quot;mt&quot;"/>
    <numFmt numFmtId="167" formatCode="0.0%"/>
    <numFmt numFmtId="168" formatCode="###,###&quot;mt CPO&quot;"/>
    <numFmt numFmtId="169" formatCode="###,###&quot;mt RBD&quot;"/>
    <numFmt numFmtId="170" formatCode="###,###&quot;mt Olein&quot;"/>
    <numFmt numFmtId="171" formatCode="###,###&quot;mt Stearin&quot;"/>
    <numFmt numFmtId="172" formatCode="&quot;$&quot;#,##0.000"/>
    <numFmt numFmtId="173" formatCode="&quot;$&quot;#,##0.0"/>
    <numFmt numFmtId="174" formatCode="###,###&quot;KWH&quot;"/>
    <numFmt numFmtId="175" formatCode="&quot;$&quot;#,##0.0;[Red]&quot;$&quot;\-#,##0.0"/>
    <numFmt numFmtId="176" formatCode="&quot;$&quot;#,##0"/>
  </numFmts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8"/>
      <color theme="1"/>
      <name val="Arial Narrow"/>
      <family val="2"/>
    </font>
    <font>
      <sz val="9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7030A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 vertical="center"/>
    </xf>
    <xf numFmtId="9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9" fontId="2" fillId="3" borderId="0" xfId="0" applyNumberFormat="1" applyFont="1" applyFill="1" applyAlignment="1">
      <alignment horizontal="center" vertical="center"/>
    </xf>
    <xf numFmtId="9" fontId="2" fillId="0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165" fontId="2" fillId="5" borderId="0" xfId="0" applyNumberFormat="1" applyFont="1" applyFill="1" applyAlignment="1">
      <alignment horizontal="center" vertical="center"/>
    </xf>
    <xf numFmtId="165" fontId="2" fillId="4" borderId="0" xfId="0" applyNumberFormat="1" applyFont="1" applyFill="1" applyAlignment="1">
      <alignment horizontal="center"/>
    </xf>
    <xf numFmtId="165" fontId="2" fillId="5" borderId="0" xfId="0" applyNumberFormat="1" applyFont="1" applyFill="1" applyAlignment="1">
      <alignment horizontal="center"/>
    </xf>
    <xf numFmtId="166" fontId="2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1" xfId="0" applyBorder="1"/>
    <xf numFmtId="0" fontId="0" fillId="0" borderId="0" xfId="0" applyBorder="1"/>
    <xf numFmtId="0" fontId="0" fillId="0" borderId="12" xfId="0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10" xfId="0" applyNumberFormat="1" applyBorder="1"/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6" fillId="0" borderId="12" xfId="0" applyFont="1" applyBorder="1"/>
    <xf numFmtId="164" fontId="0" fillId="0" borderId="0" xfId="0" applyNumberFormat="1" applyBorder="1"/>
    <xf numFmtId="164" fontId="2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3" xfId="0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0" fontId="5" fillId="6" borderId="0" xfId="0" applyFont="1" applyFill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/>
    </xf>
    <xf numFmtId="167" fontId="2" fillId="0" borderId="0" xfId="1" applyNumberFormat="1" applyFont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9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69" fontId="2" fillId="0" borderId="0" xfId="0" applyNumberFormat="1" applyFont="1" applyAlignment="1">
      <alignment horizontal="center" vertical="center"/>
    </xf>
    <xf numFmtId="170" fontId="2" fillId="0" borderId="0" xfId="0" applyNumberFormat="1" applyFont="1" applyAlignment="1">
      <alignment horizontal="center" vertical="center"/>
    </xf>
    <xf numFmtId="171" fontId="2" fillId="0" borderId="0" xfId="0" applyNumberFormat="1" applyFont="1" applyAlignment="1">
      <alignment horizontal="center" vertical="center"/>
    </xf>
    <xf numFmtId="173" fontId="2" fillId="0" borderId="0" xfId="0" applyNumberFormat="1" applyFont="1"/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2" fillId="0" borderId="15" xfId="0" applyNumberFormat="1" applyFont="1" applyBorder="1" applyAlignment="1">
      <alignment horizontal="center" vertical="center" wrapText="1"/>
    </xf>
    <xf numFmtId="9" fontId="2" fillId="0" borderId="16" xfId="0" applyNumberFormat="1" applyFont="1" applyBorder="1" applyAlignment="1">
      <alignment horizontal="center" vertical="center"/>
    </xf>
    <xf numFmtId="174" fontId="2" fillId="0" borderId="0" xfId="0" applyNumberFormat="1" applyFont="1" applyAlignment="1">
      <alignment horizontal="center"/>
    </xf>
    <xf numFmtId="172" fontId="2" fillId="0" borderId="0" xfId="0" applyNumberFormat="1" applyFont="1" applyAlignment="1">
      <alignment horizontal="center"/>
    </xf>
    <xf numFmtId="0" fontId="2" fillId="0" borderId="13" xfId="0" applyFont="1" applyBorder="1"/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0" fontId="2" fillId="0" borderId="0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/>
    <xf numFmtId="0" fontId="2" fillId="0" borderId="7" xfId="0" applyFont="1" applyBorder="1"/>
    <xf numFmtId="164" fontId="2" fillId="0" borderId="8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2" fillId="0" borderId="20" xfId="0" applyFont="1" applyBorder="1"/>
    <xf numFmtId="0" fontId="2" fillId="0" borderId="21" xfId="0" applyFont="1" applyBorder="1"/>
    <xf numFmtId="0" fontId="2" fillId="0" borderId="1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7" fillId="0" borderId="12" xfId="0" applyFont="1" applyBorder="1"/>
    <xf numFmtId="164" fontId="0" fillId="0" borderId="0" xfId="0" applyNumberFormat="1"/>
    <xf numFmtId="167" fontId="0" fillId="0" borderId="0" xfId="1" applyNumberFormat="1" applyFont="1" applyBorder="1"/>
    <xf numFmtId="10" fontId="0" fillId="0" borderId="0" xfId="0" applyNumberFormat="1" applyBorder="1"/>
    <xf numFmtId="164" fontId="2" fillId="4" borderId="10" xfId="0" applyNumberFormat="1" applyFont="1" applyFill="1" applyBorder="1" applyAlignment="1">
      <alignment horizontal="center"/>
    </xf>
    <xf numFmtId="164" fontId="2" fillId="8" borderId="10" xfId="0" applyNumberFormat="1" applyFont="1" applyFill="1" applyBorder="1" applyAlignment="1">
      <alignment horizontal="center" vertical="center"/>
    </xf>
    <xf numFmtId="164" fontId="2" fillId="9" borderId="10" xfId="0" applyNumberFormat="1" applyFont="1" applyFill="1" applyBorder="1" applyAlignment="1">
      <alignment horizontal="center" vertical="center"/>
    </xf>
    <xf numFmtId="164" fontId="2" fillId="10" borderId="10" xfId="0" applyNumberFormat="1" applyFont="1" applyFill="1" applyBorder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9" fontId="0" fillId="0" borderId="0" xfId="0" applyNumberFormat="1"/>
    <xf numFmtId="165" fontId="2" fillId="4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0" xfId="0" applyNumberFormat="1" applyFont="1" applyFill="1" applyBorder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173" fontId="2" fillId="0" borderId="0" xfId="0" applyNumberFormat="1" applyFont="1" applyAlignment="1">
      <alignment horizontal="center"/>
    </xf>
    <xf numFmtId="173" fontId="2" fillId="0" borderId="0" xfId="0" applyNumberFormat="1" applyFont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0" fillId="0" borderId="19" xfId="0" applyBorder="1"/>
    <xf numFmtId="0" fontId="0" fillId="0" borderId="13" xfId="0" applyBorder="1"/>
    <xf numFmtId="0" fontId="7" fillId="0" borderId="11" xfId="0" applyFont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/>
    </xf>
    <xf numFmtId="164" fontId="2" fillId="0" borderId="12" xfId="0" applyNumberFormat="1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6" fillId="0" borderId="0" xfId="0" applyFont="1" applyBorder="1"/>
    <xf numFmtId="0" fontId="7" fillId="0" borderId="0" xfId="0" applyFont="1" applyBorder="1"/>
    <xf numFmtId="9" fontId="0" fillId="0" borderId="0" xfId="0" applyNumberFormat="1" applyAlignment="1">
      <alignment horizontal="center" vertical="center"/>
    </xf>
    <xf numFmtId="0" fontId="0" fillId="0" borderId="17" xfId="0" applyBorder="1" applyAlignment="1">
      <alignment horizontal="center"/>
    </xf>
    <xf numFmtId="0" fontId="5" fillId="12" borderId="0" xfId="0" applyFont="1" applyFill="1" applyAlignment="1">
      <alignment horizontal="center" vertical="center"/>
    </xf>
    <xf numFmtId="0" fontId="1" fillId="12" borderId="0" xfId="0" applyFont="1" applyFill="1" applyAlignment="1">
      <alignment horizontal="center" vertical="center"/>
    </xf>
    <xf numFmtId="9" fontId="2" fillId="0" borderId="7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64" fontId="7" fillId="0" borderId="14" xfId="0" applyNumberFormat="1" applyFont="1" applyFill="1" applyBorder="1" applyAlignment="1">
      <alignment horizontal="center" vertical="center"/>
    </xf>
    <xf numFmtId="9" fontId="0" fillId="0" borderId="0" xfId="0" applyNumberFormat="1" applyBorder="1" applyAlignment="1">
      <alignment horizontal="center"/>
    </xf>
    <xf numFmtId="0" fontId="6" fillId="0" borderId="8" xfId="0" applyFont="1" applyBorder="1"/>
    <xf numFmtId="0" fontId="6" fillId="0" borderId="5" xfId="0" applyFont="1" applyBorder="1"/>
    <xf numFmtId="9" fontId="0" fillId="0" borderId="0" xfId="0" applyNumberFormat="1" applyBorder="1" applyAlignment="1">
      <alignment horizontal="center" vertical="center"/>
    </xf>
    <xf numFmtId="164" fontId="0" fillId="0" borderId="5" xfId="0" applyNumberFormat="1" applyBorder="1"/>
    <xf numFmtId="9" fontId="0" fillId="0" borderId="8" xfId="0" applyNumberFormat="1" applyBorder="1" applyAlignment="1">
      <alignment horizontal="center" vertical="center"/>
    </xf>
    <xf numFmtId="164" fontId="0" fillId="0" borderId="22" xfId="0" applyNumberFormat="1" applyBorder="1"/>
    <xf numFmtId="0" fontId="0" fillId="0" borderId="5" xfId="0" applyBorder="1" applyAlignment="1">
      <alignment horizontal="center"/>
    </xf>
    <xf numFmtId="9" fontId="0" fillId="0" borderId="5" xfId="0" applyNumberForma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8" fillId="0" borderId="0" xfId="0" applyFont="1"/>
    <xf numFmtId="0" fontId="9" fillId="0" borderId="4" xfId="0" applyFont="1" applyBorder="1" applyAlignment="1">
      <alignment horizontal="right"/>
    </xf>
    <xf numFmtId="164" fontId="9" fillId="0" borderId="6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right"/>
    </xf>
    <xf numFmtId="164" fontId="9" fillId="0" borderId="12" xfId="0" applyNumberFormat="1" applyFont="1" applyBorder="1" applyAlignment="1">
      <alignment horizontal="center" vertical="center"/>
    </xf>
    <xf numFmtId="0" fontId="9" fillId="0" borderId="11" xfId="0" applyFont="1" applyBorder="1"/>
    <xf numFmtId="0" fontId="9" fillId="0" borderId="12" xfId="0" applyFont="1" applyBorder="1"/>
    <xf numFmtId="0" fontId="9" fillId="0" borderId="7" xfId="0" applyFont="1" applyBorder="1" applyAlignment="1">
      <alignment horizontal="right" vertical="center"/>
    </xf>
    <xf numFmtId="164" fontId="9" fillId="0" borderId="9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3" fontId="0" fillId="0" borderId="9" xfId="0" applyNumberFormat="1" applyBorder="1"/>
    <xf numFmtId="167" fontId="2" fillId="0" borderId="9" xfId="0" applyNumberFormat="1" applyFont="1" applyBorder="1" applyAlignment="1">
      <alignment horizontal="center" vertical="center"/>
    </xf>
    <xf numFmtId="167" fontId="7" fillId="0" borderId="9" xfId="0" applyNumberFormat="1" applyFont="1" applyBorder="1" applyAlignment="1">
      <alignment horizontal="center" vertical="center"/>
    </xf>
    <xf numFmtId="167" fontId="2" fillId="0" borderId="9" xfId="1" applyNumberFormat="1" applyFont="1" applyBorder="1" applyAlignment="1">
      <alignment horizontal="center" vertical="center"/>
    </xf>
    <xf numFmtId="167" fontId="2" fillId="0" borderId="7" xfId="0" applyNumberFormat="1" applyFont="1" applyBorder="1" applyAlignment="1">
      <alignment horizontal="center" vertical="center"/>
    </xf>
    <xf numFmtId="6" fontId="2" fillId="0" borderId="0" xfId="0" applyNumberFormat="1" applyFont="1" applyAlignment="1">
      <alignment horizontal="center" vertical="center"/>
    </xf>
    <xf numFmtId="167" fontId="2" fillId="0" borderId="12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12" borderId="0" xfId="0" applyFont="1" applyFill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67" fontId="2" fillId="0" borderId="26" xfId="1" applyNumberFormat="1" applyFont="1" applyBorder="1" applyAlignment="1">
      <alignment horizontal="center" vertical="center"/>
    </xf>
    <xf numFmtId="167" fontId="2" fillId="0" borderId="27" xfId="1" applyNumberFormat="1" applyFont="1" applyBorder="1" applyAlignment="1">
      <alignment horizontal="center" vertical="center"/>
    </xf>
    <xf numFmtId="167" fontId="2" fillId="0" borderId="28" xfId="1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175" fontId="7" fillId="0" borderId="6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7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12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64" fontId="2" fillId="0" borderId="0" xfId="2" applyNumberFormat="1" applyFont="1" applyBorder="1" applyAlignment="1">
      <alignment horizontal="center" vertical="center"/>
    </xf>
    <xf numFmtId="167" fontId="7" fillId="0" borderId="7" xfId="0" applyNumberFormat="1" applyFont="1" applyBorder="1" applyAlignment="1">
      <alignment horizontal="center" vertical="center"/>
    </xf>
    <xf numFmtId="176" fontId="0" fillId="0" borderId="13" xfId="0" applyNumberFormat="1" applyBorder="1"/>
    <xf numFmtId="164" fontId="14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176" fontId="2" fillId="0" borderId="14" xfId="0" applyNumberFormat="1" applyFont="1" applyBorder="1" applyAlignment="1">
      <alignment horizontal="right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13" borderId="29" xfId="0" applyFill="1" applyBorder="1" applyAlignment="1">
      <alignment horizontal="right"/>
    </xf>
    <xf numFmtId="176" fontId="0" fillId="0" borderId="0" xfId="0" applyNumberFormat="1" applyBorder="1"/>
    <xf numFmtId="176" fontId="0" fillId="0" borderId="12" xfId="0" applyNumberFormat="1" applyBorder="1"/>
    <xf numFmtId="0" fontId="0" fillId="8" borderId="29" xfId="0" applyFill="1" applyBorder="1" applyAlignment="1">
      <alignment horizontal="right"/>
    </xf>
    <xf numFmtId="0" fontId="0" fillId="14" borderId="29" xfId="0" applyFill="1" applyBorder="1" applyAlignment="1">
      <alignment horizontal="right"/>
    </xf>
    <xf numFmtId="0" fontId="0" fillId="10" borderId="29" xfId="0" applyFill="1" applyBorder="1" applyAlignment="1">
      <alignment horizontal="right"/>
    </xf>
    <xf numFmtId="0" fontId="0" fillId="0" borderId="17" xfId="0" applyBorder="1"/>
    <xf numFmtId="176" fontId="0" fillId="0" borderId="8" xfId="0" applyNumberFormat="1" applyBorder="1"/>
    <xf numFmtId="176" fontId="0" fillId="0" borderId="9" xfId="0" applyNumberFormat="1" applyBorder="1"/>
    <xf numFmtId="0" fontId="0" fillId="0" borderId="8" xfId="0" applyBorder="1" applyAlignment="1">
      <alignment horizontal="right"/>
    </xf>
    <xf numFmtId="44" fontId="2" fillId="0" borderId="0" xfId="3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0" fontId="0" fillId="13" borderId="30" xfId="0" applyFill="1" applyBorder="1" applyAlignment="1">
      <alignment horizontal="center" vertical="center"/>
    </xf>
    <xf numFmtId="0" fontId="0" fillId="8" borderId="31" xfId="0" applyFill="1" applyBorder="1" applyAlignment="1">
      <alignment horizontal="center" vertical="center"/>
    </xf>
    <xf numFmtId="0" fontId="0" fillId="15" borderId="31" xfId="0" applyFill="1" applyBorder="1" applyAlignment="1">
      <alignment horizontal="center" vertical="center"/>
    </xf>
    <xf numFmtId="0" fontId="0" fillId="10" borderId="22" xfId="0" applyFill="1" applyBorder="1" applyAlignment="1">
      <alignment horizontal="center" vertical="center"/>
    </xf>
    <xf numFmtId="176" fontId="0" fillId="0" borderId="0" xfId="0" applyNumberFormat="1"/>
    <xf numFmtId="176" fontId="2" fillId="0" borderId="32" xfId="0" applyNumberFormat="1" applyFont="1" applyBorder="1" applyAlignment="1">
      <alignment horizontal="center" vertical="center"/>
    </xf>
    <xf numFmtId="0" fontId="14" fillId="16" borderId="0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7" xfId="0" applyBorder="1" applyAlignment="1">
      <alignment horizontal="right"/>
    </xf>
    <xf numFmtId="0" fontId="0" fillId="0" borderId="11" xfId="0" applyFill="1" applyBorder="1"/>
    <xf numFmtId="0" fontId="0" fillId="0" borderId="9" xfId="0" applyBorder="1" applyAlignment="1">
      <alignment horizontal="right"/>
    </xf>
    <xf numFmtId="0" fontId="16" fillId="0" borderId="0" xfId="0" applyFont="1" applyBorder="1"/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176" fontId="15" fillId="0" borderId="0" xfId="0" applyNumberFormat="1" applyFont="1"/>
    <xf numFmtId="0" fontId="15" fillId="0" borderId="0" xfId="0" applyFont="1"/>
    <xf numFmtId="9" fontId="17" fillId="0" borderId="0" xfId="0" applyNumberFormat="1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</cellXfs>
  <cellStyles count="4">
    <cellStyle name="Millares" xfId="2" builtinId="3"/>
    <cellStyle name="Moneda" xfId="3" builtinId="4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Utilidad</a:t>
            </a:r>
            <a:r>
              <a:rPr lang="es-EC" baseline="0"/>
              <a:t> Por Unidad de Ingresos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Gráficos!$A$2</c:f>
              <c:strCache>
                <c:ptCount val="1"/>
                <c:pt idx="0">
                  <c:v>Finca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Gráficos!$B$1:$P$1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Gráficos!$B$2:$P$2</c:f>
              <c:numCache>
                <c:formatCode>"$"#,##0</c:formatCode>
                <c:ptCount val="15"/>
                <c:pt idx="0">
                  <c:v>972472.7272727266</c:v>
                </c:pt>
                <c:pt idx="1">
                  <c:v>-2027527.2727272734</c:v>
                </c:pt>
                <c:pt idx="2">
                  <c:v>-5063789.0909090936</c:v>
                </c:pt>
                <c:pt idx="3">
                  <c:v>5121062.5454545394</c:v>
                </c:pt>
                <c:pt idx="4">
                  <c:v>15639544.654545445</c:v>
                </c:pt>
                <c:pt idx="5">
                  <c:v>18350837.381818168</c:v>
                </c:pt>
                <c:pt idx="6">
                  <c:v>20464555.563636355</c:v>
                </c:pt>
                <c:pt idx="7">
                  <c:v>22846452.727272727</c:v>
                </c:pt>
                <c:pt idx="8">
                  <c:v>25124981.81818182</c:v>
                </c:pt>
                <c:pt idx="9">
                  <c:v>-55139829.090909094</c:v>
                </c:pt>
                <c:pt idx="10">
                  <c:v>32909747.272727273</c:v>
                </c:pt>
                <c:pt idx="11">
                  <c:v>33596427.272727273</c:v>
                </c:pt>
                <c:pt idx="12">
                  <c:v>33596427.272727273</c:v>
                </c:pt>
                <c:pt idx="13">
                  <c:v>33596427.272727273</c:v>
                </c:pt>
                <c:pt idx="14">
                  <c:v>33596427.272727273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1A-4263-A509-B0109B9E25AA}"/>
            </c:ext>
          </c:extLst>
        </c:ser>
        <c:ser>
          <c:idx val="1"/>
          <c:order val="1"/>
          <c:tx>
            <c:strRef>
              <c:f>Gráficos!$A$3</c:f>
              <c:strCache>
                <c:ptCount val="1"/>
                <c:pt idx="0">
                  <c:v>Extractora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Gráficos!$B$1:$P$1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Gráficos!$B$3:$P$3</c:f>
              <c:numCache>
                <c:formatCode>"$"#,##0</c:formatCode>
                <c:ptCount val="15"/>
                <c:pt idx="0">
                  <c:v>579607.2727272734</c:v>
                </c:pt>
                <c:pt idx="1">
                  <c:v>579607.2727272734</c:v>
                </c:pt>
                <c:pt idx="2">
                  <c:v>2272970.1818181872</c:v>
                </c:pt>
                <c:pt idx="3">
                  <c:v>3033790.9818181768</c:v>
                </c:pt>
                <c:pt idx="4">
                  <c:v>3556944.7199999988</c:v>
                </c:pt>
                <c:pt idx="5">
                  <c:v>4177049.4472727254</c:v>
                </c:pt>
                <c:pt idx="6">
                  <c:v>4132330.3563636318</c:v>
                </c:pt>
                <c:pt idx="7">
                  <c:v>4133284.363636367</c:v>
                </c:pt>
                <c:pt idx="8">
                  <c:v>4127321.8181818128</c:v>
                </c:pt>
                <c:pt idx="9">
                  <c:v>-3487839.2727272734</c:v>
                </c:pt>
                <c:pt idx="10">
                  <c:v>4686560.7272727266</c:v>
                </c:pt>
                <c:pt idx="11">
                  <c:v>4686560.7272727266</c:v>
                </c:pt>
                <c:pt idx="12">
                  <c:v>4686560.7272727266</c:v>
                </c:pt>
                <c:pt idx="13">
                  <c:v>4686560.7272727266</c:v>
                </c:pt>
                <c:pt idx="14">
                  <c:v>4686560.7272727266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1A-4263-A509-B0109B9E25AA}"/>
            </c:ext>
          </c:extLst>
        </c:ser>
        <c:ser>
          <c:idx val="2"/>
          <c:order val="2"/>
          <c:tx>
            <c:strRef>
              <c:f>Gráficos!$A$4</c:f>
              <c:strCache>
                <c:ptCount val="1"/>
                <c:pt idx="0">
                  <c:v>Refinería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Gráficos!$B$1:$P$1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Gráficos!$B$4:$P$4</c:f>
              <c:numCache>
                <c:formatCode>"$"#,##0</c:formatCode>
                <c:ptCount val="15"/>
                <c:pt idx="0">
                  <c:v>-816000</c:v>
                </c:pt>
                <c:pt idx="1">
                  <c:v>-816000</c:v>
                </c:pt>
                <c:pt idx="2">
                  <c:v>1650547.200000003</c:v>
                </c:pt>
                <c:pt idx="3">
                  <c:v>1650547.200000003</c:v>
                </c:pt>
                <c:pt idx="4">
                  <c:v>6028668.4800000042</c:v>
                </c:pt>
                <c:pt idx="5">
                  <c:v>7995739.8720000014</c:v>
                </c:pt>
                <c:pt idx="6">
                  <c:v>9348332.6928000003</c:v>
                </c:pt>
                <c:pt idx="7">
                  <c:v>10951588.372800007</c:v>
                </c:pt>
                <c:pt idx="8">
                  <c:v>10835968.972800002</c:v>
                </c:pt>
                <c:pt idx="9">
                  <c:v>-6161564.4799999967</c:v>
                </c:pt>
                <c:pt idx="10">
                  <c:v>11639019.600000009</c:v>
                </c:pt>
                <c:pt idx="11">
                  <c:v>12116913.120000005</c:v>
                </c:pt>
                <c:pt idx="12">
                  <c:v>12116913.120000005</c:v>
                </c:pt>
                <c:pt idx="13">
                  <c:v>12116913.120000005</c:v>
                </c:pt>
                <c:pt idx="14">
                  <c:v>12116913.120000005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1A-4263-A509-B0109B9E25AA}"/>
            </c:ext>
          </c:extLst>
        </c:ser>
        <c:ser>
          <c:idx val="3"/>
          <c:order val="3"/>
          <c:tx>
            <c:strRef>
              <c:f>Gráficos!$A$5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Gráficos!$B$1:$P$1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Gráficos!$B$5:$P$5</c:f>
              <c:numCache>
                <c:formatCode>"$"#,##0</c:formatCode>
                <c:ptCount val="15"/>
                <c:pt idx="0">
                  <c:v>0</c:v>
                </c:pt>
                <c:pt idx="1">
                  <c:v>662400</c:v>
                </c:pt>
                <c:pt idx="2">
                  <c:v>662400</c:v>
                </c:pt>
                <c:pt idx="3">
                  <c:v>1630559.9999999995</c:v>
                </c:pt>
                <c:pt idx="4">
                  <c:v>2578583.9999999991</c:v>
                </c:pt>
                <c:pt idx="5">
                  <c:v>3851301.5999999987</c:v>
                </c:pt>
                <c:pt idx="6">
                  <c:v>4753761.5999999987</c:v>
                </c:pt>
                <c:pt idx="7">
                  <c:v>5377461.5999999987</c:v>
                </c:pt>
                <c:pt idx="8">
                  <c:v>6071940</c:v>
                </c:pt>
                <c:pt idx="9">
                  <c:v>-16590800</c:v>
                </c:pt>
                <c:pt idx="10">
                  <c:v>7799640</c:v>
                </c:pt>
                <c:pt idx="11">
                  <c:v>8081460</c:v>
                </c:pt>
                <c:pt idx="12">
                  <c:v>8183100</c:v>
                </c:pt>
                <c:pt idx="13">
                  <c:v>8183100</c:v>
                </c:pt>
                <c:pt idx="14">
                  <c:v>8183100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1A-4263-A509-B0109B9E25AA}"/>
            </c:ext>
          </c:extLst>
        </c:ser>
        <c:ser>
          <c:idx val="4"/>
          <c:order val="4"/>
          <c:tx>
            <c:strRef>
              <c:f>Gráficos!$A$7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Gráficos!$B$1:$P$1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Gráficos!$B$7:$P$7</c:f>
              <c:numCache>
                <c:formatCode>"$"#,##0</c:formatCode>
                <c:ptCount val="15"/>
                <c:pt idx="0">
                  <c:v>736080</c:v>
                </c:pt>
                <c:pt idx="1">
                  <c:v>8498480</c:v>
                </c:pt>
                <c:pt idx="2">
                  <c:v>5242128.2909090966</c:v>
                </c:pt>
                <c:pt idx="3">
                  <c:v>14339960.727272719</c:v>
                </c:pt>
                <c:pt idx="4">
                  <c:v>29447741.854545448</c:v>
                </c:pt>
                <c:pt idx="5">
                  <c:v>35142928.301090896</c:v>
                </c:pt>
                <c:pt idx="6">
                  <c:v>38962980.212799989</c:v>
                </c:pt>
                <c:pt idx="7">
                  <c:v>43308787.063709103</c:v>
                </c:pt>
                <c:pt idx="8">
                  <c:v>46160212.609163634</c:v>
                </c:pt>
                <c:pt idx="9">
                  <c:v>-81380032.843636364</c:v>
                </c:pt>
                <c:pt idx="10">
                  <c:v>57034967.600000009</c:v>
                </c:pt>
                <c:pt idx="11">
                  <c:v>58481361.120000005</c:v>
                </c:pt>
                <c:pt idx="12">
                  <c:v>58583001.120000005</c:v>
                </c:pt>
                <c:pt idx="13">
                  <c:v>58583001.120000005</c:v>
                </c:pt>
                <c:pt idx="14">
                  <c:v>58583001.120000005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1A-4263-A509-B0109B9E2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2621567"/>
        <c:axId val="909521919"/>
      </c:barChart>
      <c:catAx>
        <c:axId val="822621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909521919"/>
        <c:crosses val="autoZero"/>
        <c:auto val="1"/>
        <c:lblAlgn val="ctr"/>
        <c:lblOffset val="100"/>
        <c:noMultiLvlLbl val="0"/>
      </c:catAx>
      <c:valAx>
        <c:axId val="909521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822621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Utilidad</a:t>
            </a:r>
            <a:r>
              <a:rPr lang="es-EC" baseline="0"/>
              <a:t> de Cada Unidad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Gráficos!$A$2</c:f>
              <c:strCache>
                <c:ptCount val="1"/>
                <c:pt idx="0">
                  <c:v>Finca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Gráficos!$B$2:$P$2</c:f>
              <c:numCache>
                <c:formatCode>"$"#,##0</c:formatCode>
                <c:ptCount val="15"/>
                <c:pt idx="0">
                  <c:v>972472.7272727266</c:v>
                </c:pt>
                <c:pt idx="1">
                  <c:v>-2027527.2727272734</c:v>
                </c:pt>
                <c:pt idx="2">
                  <c:v>-5063789.0909090936</c:v>
                </c:pt>
                <c:pt idx="3">
                  <c:v>5121062.5454545394</c:v>
                </c:pt>
                <c:pt idx="4">
                  <c:v>15639544.654545445</c:v>
                </c:pt>
                <c:pt idx="5">
                  <c:v>18350837.381818168</c:v>
                </c:pt>
                <c:pt idx="6">
                  <c:v>20464555.563636355</c:v>
                </c:pt>
                <c:pt idx="7">
                  <c:v>22846452.727272727</c:v>
                </c:pt>
                <c:pt idx="8">
                  <c:v>25124981.81818182</c:v>
                </c:pt>
                <c:pt idx="9">
                  <c:v>-55139829.090909094</c:v>
                </c:pt>
                <c:pt idx="10">
                  <c:v>32909747.272727273</c:v>
                </c:pt>
                <c:pt idx="11">
                  <c:v>33596427.272727273</c:v>
                </c:pt>
                <c:pt idx="12">
                  <c:v>33596427.272727273</c:v>
                </c:pt>
                <c:pt idx="13">
                  <c:v>33596427.272727273</c:v>
                </c:pt>
                <c:pt idx="14">
                  <c:v>33596427.272727273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39-4A64-A1D0-DCC8500E2D2F}"/>
            </c:ext>
          </c:extLst>
        </c:ser>
        <c:ser>
          <c:idx val="1"/>
          <c:order val="1"/>
          <c:tx>
            <c:strRef>
              <c:f>Gráficos!$A$3</c:f>
              <c:strCache>
                <c:ptCount val="1"/>
                <c:pt idx="0">
                  <c:v>Extractora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Gráficos!$B$3:$P$3</c:f>
              <c:numCache>
                <c:formatCode>"$"#,##0</c:formatCode>
                <c:ptCount val="15"/>
                <c:pt idx="0">
                  <c:v>579607.2727272734</c:v>
                </c:pt>
                <c:pt idx="1">
                  <c:v>579607.2727272734</c:v>
                </c:pt>
                <c:pt idx="2">
                  <c:v>2272970.1818181872</c:v>
                </c:pt>
                <c:pt idx="3">
                  <c:v>3033790.9818181768</c:v>
                </c:pt>
                <c:pt idx="4">
                  <c:v>3556944.7199999988</c:v>
                </c:pt>
                <c:pt idx="5">
                  <c:v>4177049.4472727254</c:v>
                </c:pt>
                <c:pt idx="6">
                  <c:v>4132330.3563636318</c:v>
                </c:pt>
                <c:pt idx="7">
                  <c:v>4133284.363636367</c:v>
                </c:pt>
                <c:pt idx="8">
                  <c:v>4127321.8181818128</c:v>
                </c:pt>
                <c:pt idx="9">
                  <c:v>-3487839.2727272734</c:v>
                </c:pt>
                <c:pt idx="10">
                  <c:v>4686560.7272727266</c:v>
                </c:pt>
                <c:pt idx="11">
                  <c:v>4686560.7272727266</c:v>
                </c:pt>
                <c:pt idx="12">
                  <c:v>4686560.7272727266</c:v>
                </c:pt>
                <c:pt idx="13">
                  <c:v>4686560.7272727266</c:v>
                </c:pt>
                <c:pt idx="14">
                  <c:v>4686560.7272727266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39-4A64-A1D0-DCC8500E2D2F}"/>
            </c:ext>
          </c:extLst>
        </c:ser>
        <c:ser>
          <c:idx val="2"/>
          <c:order val="2"/>
          <c:tx>
            <c:strRef>
              <c:f>Gráficos!$A$4</c:f>
              <c:strCache>
                <c:ptCount val="1"/>
                <c:pt idx="0">
                  <c:v>Refinería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Gráficos!$B$4:$P$4</c:f>
              <c:numCache>
                <c:formatCode>"$"#,##0</c:formatCode>
                <c:ptCount val="15"/>
                <c:pt idx="0">
                  <c:v>-816000</c:v>
                </c:pt>
                <c:pt idx="1">
                  <c:v>-816000</c:v>
                </c:pt>
                <c:pt idx="2">
                  <c:v>1650547.200000003</c:v>
                </c:pt>
                <c:pt idx="3">
                  <c:v>1650547.200000003</c:v>
                </c:pt>
                <c:pt idx="4">
                  <c:v>6028668.4800000042</c:v>
                </c:pt>
                <c:pt idx="5">
                  <c:v>7995739.8720000014</c:v>
                </c:pt>
                <c:pt idx="6">
                  <c:v>9348332.6928000003</c:v>
                </c:pt>
                <c:pt idx="7">
                  <c:v>10951588.372800007</c:v>
                </c:pt>
                <c:pt idx="8">
                  <c:v>10835968.972800002</c:v>
                </c:pt>
                <c:pt idx="9">
                  <c:v>-6161564.4799999967</c:v>
                </c:pt>
                <c:pt idx="10">
                  <c:v>11639019.600000009</c:v>
                </c:pt>
                <c:pt idx="11">
                  <c:v>12116913.120000005</c:v>
                </c:pt>
                <c:pt idx="12">
                  <c:v>12116913.120000005</c:v>
                </c:pt>
                <c:pt idx="13">
                  <c:v>12116913.120000005</c:v>
                </c:pt>
                <c:pt idx="14">
                  <c:v>12116913.120000005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39-4A64-A1D0-DCC8500E2D2F}"/>
            </c:ext>
          </c:extLst>
        </c:ser>
        <c:ser>
          <c:idx val="3"/>
          <c:order val="3"/>
          <c:tx>
            <c:strRef>
              <c:f>Gráficos!$A$5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Gráficos!$B$5:$P$5</c:f>
              <c:numCache>
                <c:formatCode>"$"#,##0</c:formatCode>
                <c:ptCount val="15"/>
                <c:pt idx="0">
                  <c:v>0</c:v>
                </c:pt>
                <c:pt idx="1">
                  <c:v>662400</c:v>
                </c:pt>
                <c:pt idx="2">
                  <c:v>662400</c:v>
                </c:pt>
                <c:pt idx="3">
                  <c:v>1630559.9999999995</c:v>
                </c:pt>
                <c:pt idx="4">
                  <c:v>2578583.9999999991</c:v>
                </c:pt>
                <c:pt idx="5">
                  <c:v>3851301.5999999987</c:v>
                </c:pt>
                <c:pt idx="6">
                  <c:v>4753761.5999999987</c:v>
                </c:pt>
                <c:pt idx="7">
                  <c:v>5377461.5999999987</c:v>
                </c:pt>
                <c:pt idx="8">
                  <c:v>6071940</c:v>
                </c:pt>
                <c:pt idx="9">
                  <c:v>-16590800</c:v>
                </c:pt>
                <c:pt idx="10">
                  <c:v>7799640</c:v>
                </c:pt>
                <c:pt idx="11">
                  <c:v>8081460</c:v>
                </c:pt>
                <c:pt idx="12">
                  <c:v>8183100</c:v>
                </c:pt>
                <c:pt idx="13">
                  <c:v>8183100</c:v>
                </c:pt>
                <c:pt idx="14">
                  <c:v>8183100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39-4A64-A1D0-DCC8500E2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4319183"/>
        <c:axId val="886146655"/>
      </c:barChart>
      <c:catAx>
        <c:axId val="8243191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886146655"/>
        <c:crosses val="autoZero"/>
        <c:auto val="1"/>
        <c:lblAlgn val="ctr"/>
        <c:lblOffset val="100"/>
        <c:noMultiLvlLbl val="0"/>
      </c:catAx>
      <c:valAx>
        <c:axId val="8861466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8243191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_xlchart.v1.0</cx:f>
      </cx:strDim>
      <cx:numDim type="val">
        <cx:f dir="row">_xlchart.v1.1</cx:f>
      </cx:numDim>
    </cx:data>
    <cx:data id="1">
      <cx:strDim type="cat">
        <cx:f dir="row">_xlchart.v1.0</cx:f>
      </cx:strDim>
      <cx:numDim type="val">
        <cx:f dir="row">_xlchart.v1.2</cx:f>
      </cx:numDim>
    </cx:data>
    <cx:data id="2">
      <cx:strDim type="cat">
        <cx:f dir="row">_xlchart.v1.0</cx:f>
      </cx:strDim>
      <cx:numDim type="val">
        <cx:f dir="row">_xlchart.v1.3</cx:f>
      </cx:numDim>
    </cx:data>
    <cx:data id="3">
      <cx:strDim type="cat">
        <cx:f dir="row">_xlchart.v1.0</cx:f>
      </cx:strDim>
      <cx:numDim type="val">
        <cx:f dir="row">_xlchart.v1.4</cx:f>
      </cx:numDim>
    </cx:data>
    <cx:data id="4">
      <cx:strDim type="cat">
        <cx:f dir="row">_xlchart.v1.0</cx:f>
      </cx:strDim>
      <cx:numDim type="val">
        <cx:f dir="row">_xlchart.v1.5</cx:f>
      </cx:numDim>
    </cx:data>
  </cx:chartData>
  <cx:chart>
    <cx:title pos="t" align="ctr" overlay="0">
      <cx:tx>
        <cx:txData>
          <cx:v>Gráfico de Ganancias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s-E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Gráfico de Ganancias</a:t>
          </a:r>
        </a:p>
      </cx:txPr>
    </cx:title>
    <cx:plotArea>
      <cx:plotAreaRegion>
        <cx:series layoutId="waterfall" uniqueId="{268ED98E-AB3F-43CC-9605-8A6ED7A9B9DC}" formatIdx="0">
          <cx:tx>
            <cx:txData>
              <cx:f/>
              <cx:v>Finca</cx:v>
            </cx:txData>
          </cx:tx>
          <cx:dataLabels pos="outEnd">
            <cx:visibility seriesName="0" categoryName="0" value="1"/>
          </cx:dataLabels>
          <cx:dataId val="0"/>
          <cx:layoutPr>
            <cx:subtotals/>
          </cx:layoutPr>
        </cx:series>
        <cx:series layoutId="waterfall" hidden="1" uniqueId="{F2C9009E-EAC6-448A-A5D1-690639D559DC}" formatIdx="1">
          <cx:tx>
            <cx:txData>
              <cx:f/>
              <cx:v>Extractora</cx:v>
            </cx:txData>
          </cx:tx>
          <cx:dataLabels pos="outEnd">
            <cx:visibility seriesName="0" categoryName="0" value="1"/>
          </cx:dataLabels>
          <cx:dataId val="1"/>
          <cx:layoutPr>
            <cx:subtotals/>
          </cx:layoutPr>
        </cx:series>
        <cx:series layoutId="waterfall" hidden="1" uniqueId="{71254C46-F377-4329-86AB-0A3F47627816}" formatIdx="2">
          <cx:tx>
            <cx:txData>
              <cx:f/>
              <cx:v>Refinería</cx:v>
            </cx:txData>
          </cx:tx>
          <cx:dataLabels pos="outEnd">
            <cx:visibility seriesName="0" categoryName="0" value="1"/>
          </cx:dataLabels>
          <cx:dataId val="2"/>
          <cx:layoutPr>
            <cx:subtotals/>
          </cx:layoutPr>
        </cx:series>
        <cx:series layoutId="waterfall" hidden="1" uniqueId="{548ABFE3-691F-44E4-804B-437D699B76DD}" formatIdx="3">
          <cx:tx>
            <cx:txData>
              <cx:f/>
              <cx:v>Biomasa</cx:v>
            </cx:txData>
          </cx:tx>
          <cx:dataLabels pos="outEnd">
            <cx:visibility seriesName="0" categoryName="0" value="1"/>
          </cx:dataLabels>
          <cx:dataId val="3"/>
          <cx:layoutPr>
            <cx:subtotals/>
          </cx:layoutPr>
        </cx:series>
        <cx:series layoutId="waterfall" hidden="1" uniqueId="{B782BD55-F287-427D-B0B3-FAEE2239B39B}" formatIdx="4">
          <cx:tx>
            <cx:txData>
              <cx:f/>
              <cx:v>Total</cx:v>
            </cx:txData>
          </cx:tx>
          <cx:dataLabels pos="outEnd">
            <cx:visibility seriesName="0" categoryName="0" value="1"/>
          </cx:dataLabels>
          <cx:dataId val="4"/>
          <cx:layoutPr>
            <cx:subtotals/>
          </cx:layoutPr>
        </cx:series>
      </cx:plotAreaRegion>
      <cx:axis id="0">
        <cx:catScaling gapWidth="0.5"/>
        <cx:tickLabels/>
      </cx:axis>
      <cx:axis id="1">
        <cx:valScaling/>
        <cx:majorGridlines/>
        <cx:tickLabels/>
      </cx:axis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8</xdr:row>
      <xdr:rowOff>116945</xdr:rowOff>
    </xdr:from>
    <xdr:to>
      <xdr:col>7</xdr:col>
      <xdr:colOff>247650</xdr:colOff>
      <xdr:row>27</xdr:row>
      <xdr:rowOff>26459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265FC687-65DC-427E-AF3B-2AFF2B173E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3350" y="1774295"/>
              <a:ext cx="5505450" cy="352901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8</xdr:col>
      <xdr:colOff>38100</xdr:colOff>
      <xdr:row>8</xdr:row>
      <xdr:rowOff>114301</xdr:rowOff>
    </xdr:from>
    <xdr:to>
      <xdr:col>16</xdr:col>
      <xdr:colOff>19050</xdr:colOff>
      <xdr:row>27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83E289B-6F28-4A7F-AECC-FD87E4857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752474</xdr:colOff>
      <xdr:row>29</xdr:row>
      <xdr:rowOff>23812</xdr:rowOff>
    </xdr:from>
    <xdr:to>
      <xdr:col>15</xdr:col>
      <xdr:colOff>742949</xdr:colOff>
      <xdr:row>50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A930B9C-EB4F-4BFE-84B8-4D8E573EF3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30"/>
  <sheetViews>
    <sheetView showGridLines="0" topLeftCell="A10" zoomScale="80" zoomScaleNormal="80" workbookViewId="0">
      <selection activeCell="B23" sqref="B23"/>
    </sheetView>
  </sheetViews>
  <sheetFormatPr baseColWidth="10" defaultColWidth="11.42578125" defaultRowHeight="15" x14ac:dyDescent="0.25"/>
  <cols>
    <col min="1" max="1" width="3.5703125" customWidth="1"/>
    <col min="2" max="2" width="11.5703125" bestFit="1" customWidth="1"/>
    <col min="5" max="5" width="13.7109375" bestFit="1" customWidth="1"/>
    <col min="6" max="6" width="15.85546875" bestFit="1" customWidth="1"/>
    <col min="7" max="7" width="12.85546875" customWidth="1"/>
    <col min="8" max="8" width="6.42578125" customWidth="1"/>
    <col min="9" max="9" width="7.42578125" bestFit="1" customWidth="1"/>
    <col min="10" max="10" width="14.5703125" bestFit="1" customWidth="1"/>
    <col min="11" max="11" width="14.7109375" bestFit="1" customWidth="1"/>
    <col min="14" max="14" width="13.7109375" bestFit="1" customWidth="1"/>
    <col min="16" max="16" width="13.7109375" bestFit="1" customWidth="1"/>
  </cols>
  <sheetData>
    <row r="3" spans="1:16" ht="19.5" thickBot="1" x14ac:dyDescent="0.3">
      <c r="A3" s="210" t="s">
        <v>0</v>
      </c>
      <c r="B3" s="210"/>
      <c r="C3" s="210"/>
      <c r="D3" s="210"/>
      <c r="E3" s="210"/>
      <c r="F3" s="210"/>
      <c r="G3" s="210"/>
    </row>
    <row r="4" spans="1:16" ht="15.75" thickBot="1" x14ac:dyDescent="0.3">
      <c r="A4" s="21"/>
      <c r="B4" s="22"/>
      <c r="C4" s="22"/>
      <c r="D4" s="22"/>
      <c r="E4" s="22"/>
      <c r="F4" s="22"/>
      <c r="G4" s="23"/>
      <c r="K4" s="25"/>
      <c r="L4" s="25"/>
      <c r="M4" s="25"/>
      <c r="N4" s="25"/>
      <c r="O4" s="25"/>
      <c r="P4" s="25"/>
    </row>
    <row r="5" spans="1:16" x14ac:dyDescent="0.25">
      <c r="A5" s="24"/>
      <c r="B5" s="21" t="s">
        <v>1</v>
      </c>
      <c r="C5" s="22"/>
      <c r="D5" s="22"/>
      <c r="E5" s="23"/>
      <c r="F5" s="25"/>
      <c r="G5" s="26"/>
      <c r="K5" s="34"/>
      <c r="L5" s="25"/>
      <c r="M5" s="84"/>
      <c r="N5" s="85"/>
      <c r="O5" s="85"/>
      <c r="P5" s="25"/>
    </row>
    <row r="6" spans="1:16" ht="15.75" thickBot="1" x14ac:dyDescent="0.3">
      <c r="A6" s="24"/>
      <c r="B6" s="24" t="s">
        <v>2</v>
      </c>
      <c r="C6" s="25"/>
      <c r="D6" s="25"/>
      <c r="E6" s="26" t="s">
        <v>3</v>
      </c>
      <c r="F6" s="25"/>
      <c r="G6" s="26"/>
      <c r="K6" s="25"/>
      <c r="L6" s="25"/>
      <c r="M6" s="25"/>
      <c r="N6" s="25"/>
      <c r="O6" s="25"/>
      <c r="P6" s="25"/>
    </row>
    <row r="7" spans="1:16" ht="15.75" thickBot="1" x14ac:dyDescent="0.3">
      <c r="A7" s="24"/>
      <c r="B7" s="27">
        <v>4500</v>
      </c>
      <c r="C7" s="28"/>
      <c r="D7" s="28"/>
      <c r="E7" s="148">
        <v>10000</v>
      </c>
      <c r="F7" s="29">
        <v>45000000</v>
      </c>
      <c r="G7" s="33" t="s">
        <v>4</v>
      </c>
      <c r="K7" s="34"/>
      <c r="L7" s="25"/>
      <c r="M7" s="25"/>
      <c r="N7" s="25"/>
      <c r="O7" s="25"/>
      <c r="P7" s="25"/>
    </row>
    <row r="8" spans="1:16" ht="15.75" thickBot="1" x14ac:dyDescent="0.3">
      <c r="A8" s="24"/>
      <c r="B8" s="25"/>
      <c r="C8" s="25"/>
      <c r="D8" s="25"/>
      <c r="E8" s="25"/>
      <c r="F8" s="25"/>
      <c r="G8" s="33"/>
      <c r="K8" s="25"/>
      <c r="L8" s="25"/>
      <c r="M8" s="25"/>
      <c r="N8" s="25"/>
      <c r="O8" s="25"/>
      <c r="P8" s="25"/>
    </row>
    <row r="9" spans="1:16" ht="15.75" thickBot="1" x14ac:dyDescent="0.3">
      <c r="A9" s="24"/>
      <c r="B9" s="21" t="s">
        <v>5</v>
      </c>
      <c r="C9" s="22"/>
      <c r="D9" s="22"/>
      <c r="E9" s="23" t="s">
        <v>3</v>
      </c>
      <c r="F9" s="25"/>
      <c r="G9" s="33"/>
      <c r="I9" s="91"/>
      <c r="J9" s="83"/>
      <c r="K9" s="34"/>
      <c r="L9" s="25"/>
      <c r="M9" s="25"/>
      <c r="N9" s="25"/>
      <c r="O9" s="25"/>
      <c r="P9" s="25"/>
    </row>
    <row r="10" spans="1:16" ht="15.75" thickBot="1" x14ac:dyDescent="0.3">
      <c r="A10" s="24"/>
      <c r="B10" s="27">
        <v>6000</v>
      </c>
      <c r="C10" s="30"/>
      <c r="D10" s="30"/>
      <c r="E10" s="148">
        <v>6200</v>
      </c>
      <c r="F10" s="29">
        <f>E10*B10</f>
        <v>37200000</v>
      </c>
      <c r="G10" s="33" t="s">
        <v>6</v>
      </c>
      <c r="J10" s="83"/>
      <c r="K10" s="34"/>
      <c r="L10" s="25"/>
      <c r="M10" s="25"/>
      <c r="N10" s="25"/>
      <c r="O10" s="25"/>
      <c r="P10" s="25"/>
    </row>
    <row r="11" spans="1:16" ht="15.75" thickBot="1" x14ac:dyDescent="0.3">
      <c r="A11" s="24"/>
      <c r="B11" s="25"/>
      <c r="C11" s="25"/>
      <c r="D11" s="25"/>
      <c r="E11" s="25"/>
      <c r="F11" s="25"/>
      <c r="G11" s="33"/>
      <c r="K11" s="34"/>
      <c r="L11" s="25"/>
      <c r="M11" s="25"/>
      <c r="N11" s="34"/>
      <c r="O11" s="34"/>
      <c r="P11" s="25"/>
    </row>
    <row r="12" spans="1:16" ht="15.75" thickBot="1" x14ac:dyDescent="0.3">
      <c r="A12" s="24"/>
      <c r="B12" s="21" t="s">
        <v>7</v>
      </c>
      <c r="C12" s="22"/>
      <c r="D12" s="22"/>
      <c r="E12" s="23"/>
      <c r="F12" s="29">
        <v>6000000</v>
      </c>
      <c r="G12" s="33" t="s">
        <v>8</v>
      </c>
      <c r="K12" s="25"/>
      <c r="L12" s="25"/>
      <c r="M12" s="25"/>
      <c r="N12" s="25"/>
      <c r="O12" s="25"/>
      <c r="P12" s="25"/>
    </row>
    <row r="13" spans="1:16" ht="15.75" thickBot="1" x14ac:dyDescent="0.3">
      <c r="A13" s="24"/>
      <c r="B13" s="31" t="s">
        <v>9</v>
      </c>
      <c r="C13" s="30"/>
      <c r="D13" s="30"/>
      <c r="E13" s="32"/>
      <c r="F13" s="29">
        <v>1800000</v>
      </c>
      <c r="G13" s="33" t="s">
        <v>10</v>
      </c>
      <c r="K13" s="25"/>
      <c r="L13" s="25"/>
      <c r="M13" s="25"/>
      <c r="N13" s="34"/>
      <c r="O13" s="25"/>
      <c r="P13" s="34"/>
    </row>
    <row r="14" spans="1:16" ht="15.75" thickBot="1" x14ac:dyDescent="0.3">
      <c r="A14" s="24"/>
      <c r="B14" s="25"/>
      <c r="C14" s="25"/>
      <c r="D14" s="25"/>
      <c r="E14" s="25"/>
      <c r="F14" s="34"/>
      <c r="G14" s="33"/>
      <c r="K14" s="25"/>
      <c r="L14" s="25"/>
      <c r="M14" s="25"/>
      <c r="N14" s="34"/>
      <c r="O14" s="25"/>
      <c r="P14" s="34"/>
    </row>
    <row r="15" spans="1:16" ht="15.75" thickBot="1" x14ac:dyDescent="0.3">
      <c r="A15" s="24"/>
      <c r="B15" s="21" t="s">
        <v>11</v>
      </c>
      <c r="C15" s="22"/>
      <c r="D15" s="22"/>
      <c r="E15" s="23"/>
      <c r="F15" s="25"/>
      <c r="G15" s="33"/>
      <c r="K15" s="25"/>
      <c r="L15" s="25"/>
      <c r="M15" s="25"/>
      <c r="N15" s="34"/>
      <c r="O15" s="25"/>
      <c r="P15" s="34"/>
    </row>
    <row r="16" spans="1:16" ht="15.75" thickBot="1" x14ac:dyDescent="0.3">
      <c r="A16" s="24"/>
      <c r="B16" s="24" t="s">
        <v>12</v>
      </c>
      <c r="C16" s="25"/>
      <c r="D16" s="25"/>
      <c r="E16" s="26"/>
      <c r="F16" s="29">
        <v>13000000</v>
      </c>
      <c r="G16" s="33" t="s">
        <v>13</v>
      </c>
      <c r="K16" s="25"/>
      <c r="L16" s="25"/>
      <c r="M16" s="25"/>
      <c r="N16" s="25"/>
      <c r="O16" s="25"/>
      <c r="P16" s="34"/>
    </row>
    <row r="17" spans="1:16" ht="15.75" thickBot="1" x14ac:dyDescent="0.3">
      <c r="A17" s="24"/>
      <c r="B17" s="31" t="s">
        <v>9</v>
      </c>
      <c r="C17" s="30"/>
      <c r="D17" s="30"/>
      <c r="E17" s="32"/>
      <c r="F17" s="29">
        <v>4000000</v>
      </c>
      <c r="G17" s="33" t="s">
        <v>14</v>
      </c>
      <c r="K17" s="25"/>
      <c r="L17" s="25"/>
      <c r="M17" s="25"/>
      <c r="N17" s="25"/>
      <c r="O17" s="25"/>
      <c r="P17" s="25"/>
    </row>
    <row r="18" spans="1:16" ht="15.75" thickBot="1" x14ac:dyDescent="0.3">
      <c r="A18" s="24"/>
      <c r="B18" s="25"/>
      <c r="C18" s="25"/>
      <c r="D18" s="25"/>
      <c r="E18" s="25"/>
      <c r="F18" s="25"/>
      <c r="G18" s="33"/>
    </row>
    <row r="19" spans="1:16" x14ac:dyDescent="0.25">
      <c r="A19" s="24"/>
      <c r="B19" s="21" t="s">
        <v>15</v>
      </c>
      <c r="C19" s="22"/>
      <c r="D19" s="22"/>
      <c r="E19" s="23"/>
      <c r="F19" s="25"/>
      <c r="G19" s="33"/>
    </row>
    <row r="20" spans="1:16" ht="15.75" thickBot="1" x14ac:dyDescent="0.3">
      <c r="A20" s="24"/>
      <c r="B20" s="24" t="s">
        <v>16</v>
      </c>
      <c r="C20" s="25"/>
      <c r="D20" s="25"/>
      <c r="E20" s="26"/>
      <c r="F20" s="25"/>
      <c r="G20" s="33"/>
    </row>
    <row r="21" spans="1:16" ht="15.75" thickBot="1" x14ac:dyDescent="0.3">
      <c r="A21" s="24"/>
      <c r="B21" s="31" t="s">
        <v>17</v>
      </c>
      <c r="C21" s="30"/>
      <c r="D21" s="30"/>
      <c r="E21" s="32"/>
      <c r="F21" s="29">
        <v>7400000</v>
      </c>
      <c r="G21" s="33" t="s">
        <v>18</v>
      </c>
    </row>
    <row r="22" spans="1:16" ht="15.75" thickBot="1" x14ac:dyDescent="0.3">
      <c r="A22" s="24"/>
      <c r="B22" s="25"/>
      <c r="C22" s="25"/>
      <c r="D22" s="25"/>
      <c r="E22" s="25"/>
      <c r="F22" s="34"/>
      <c r="G22" s="33"/>
    </row>
    <row r="23" spans="1:16" x14ac:dyDescent="0.25">
      <c r="A23" s="24"/>
      <c r="B23" s="21" t="s">
        <v>152</v>
      </c>
      <c r="C23" s="22"/>
      <c r="D23" s="22"/>
      <c r="E23" s="23"/>
      <c r="F23" s="34"/>
      <c r="G23" s="33"/>
      <c r="I23" s="138">
        <v>130000000</v>
      </c>
    </row>
    <row r="24" spans="1:16" x14ac:dyDescent="0.25">
      <c r="A24" s="24"/>
      <c r="B24" s="24" t="s">
        <v>147</v>
      </c>
      <c r="C24" s="25"/>
      <c r="D24" s="25"/>
      <c r="E24" s="26"/>
      <c r="F24" s="64">
        <f>F25*2</f>
        <v>5200000</v>
      </c>
      <c r="G24" s="33"/>
      <c r="I24" s="138"/>
    </row>
    <row r="25" spans="1:16" x14ac:dyDescent="0.25">
      <c r="A25" s="24"/>
      <c r="B25" s="24" t="s">
        <v>148</v>
      </c>
      <c r="C25" s="25"/>
      <c r="D25" s="25"/>
      <c r="E25" s="26"/>
      <c r="F25" s="64">
        <f>I23*0.02</f>
        <v>2600000</v>
      </c>
      <c r="G25" s="33"/>
      <c r="I25" s="138"/>
    </row>
    <row r="26" spans="1:16" ht="15.75" thickBot="1" x14ac:dyDescent="0.3">
      <c r="A26" s="24"/>
      <c r="B26" s="229" t="s">
        <v>149</v>
      </c>
      <c r="C26" s="25"/>
      <c r="D26" s="25"/>
      <c r="E26" s="26"/>
      <c r="F26" s="64">
        <f>F27/2</f>
        <v>7800000</v>
      </c>
      <c r="G26" s="33"/>
      <c r="I26" s="138"/>
    </row>
    <row r="27" spans="1:16" ht="15.75" thickBot="1" x14ac:dyDescent="0.3">
      <c r="A27" s="24"/>
      <c r="B27" s="228"/>
      <c r="C27" s="30"/>
      <c r="D27" s="30"/>
      <c r="E27" s="230" t="s">
        <v>150</v>
      </c>
      <c r="F27" s="29">
        <f>I23*0.12</f>
        <v>15600000</v>
      </c>
      <c r="G27" s="33" t="s">
        <v>19</v>
      </c>
    </row>
    <row r="28" spans="1:16" ht="15.75" thickBot="1" x14ac:dyDescent="0.3">
      <c r="A28" s="24"/>
      <c r="B28" s="25"/>
      <c r="C28" s="25"/>
      <c r="D28" s="25"/>
      <c r="E28" s="25"/>
      <c r="F28" s="34"/>
      <c r="G28" s="33"/>
    </row>
    <row r="29" spans="1:16" ht="15.75" thickBot="1" x14ac:dyDescent="0.3">
      <c r="A29" s="24"/>
      <c r="B29" s="25"/>
      <c r="C29" s="25"/>
      <c r="D29" s="25"/>
      <c r="E29" s="34"/>
      <c r="F29" s="29">
        <f>SUM(F7:F27)-F24-F25-F26</f>
        <v>130000000</v>
      </c>
      <c r="G29" s="82" t="s">
        <v>151</v>
      </c>
      <c r="I29" s="83"/>
    </row>
    <row r="30" spans="1:16" ht="15.75" thickBot="1" x14ac:dyDescent="0.3">
      <c r="A30" s="31"/>
      <c r="B30" s="30"/>
      <c r="C30" s="30"/>
      <c r="D30" s="30"/>
      <c r="E30" s="30"/>
      <c r="F30" s="30"/>
      <c r="G30" s="32"/>
    </row>
  </sheetData>
  <mergeCells count="1">
    <mergeCell ref="A3:G3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Q44"/>
  <sheetViews>
    <sheetView topLeftCell="B21" workbookViewId="0">
      <selection activeCell="I35" sqref="I35"/>
    </sheetView>
  </sheetViews>
  <sheetFormatPr baseColWidth="10" defaultColWidth="11.42578125" defaultRowHeight="15" x14ac:dyDescent="0.25"/>
  <cols>
    <col min="1" max="1" width="3.5703125" customWidth="1"/>
    <col min="2" max="2" width="11.5703125" bestFit="1" customWidth="1"/>
    <col min="5" max="5" width="13.7109375" bestFit="1" customWidth="1"/>
    <col min="6" max="6" width="15.85546875" bestFit="1" customWidth="1"/>
    <col min="7" max="7" width="12.7109375" bestFit="1" customWidth="1"/>
  </cols>
  <sheetData>
    <row r="3" spans="1:17" ht="19.5" thickBot="1" x14ac:dyDescent="0.3">
      <c r="B3" s="210" t="s">
        <v>20</v>
      </c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</row>
    <row r="4" spans="1:17" ht="15.75" thickBot="1" x14ac:dyDescent="0.3">
      <c r="A4" s="24"/>
      <c r="B4" s="21"/>
      <c r="C4" s="22"/>
      <c r="D4" s="22"/>
      <c r="E4" s="22"/>
      <c r="F4" s="22"/>
      <c r="G4" s="22"/>
      <c r="H4" s="22" t="s">
        <v>21</v>
      </c>
      <c r="I4" s="22"/>
      <c r="J4" s="22"/>
      <c r="K4" s="22"/>
      <c r="L4" s="22"/>
      <c r="M4" s="22"/>
      <c r="N4" s="22"/>
      <c r="O4" s="22"/>
      <c r="P4" s="22"/>
      <c r="Q4" s="23"/>
    </row>
    <row r="5" spans="1:17" x14ac:dyDescent="0.25">
      <c r="A5" s="24"/>
      <c r="B5" s="21" t="str">
        <f>Investment!B5</f>
        <v>Purchase of the Farm</v>
      </c>
      <c r="C5" s="22"/>
      <c r="D5" s="22"/>
      <c r="E5" s="23"/>
      <c r="F5" s="25"/>
      <c r="G5" s="25"/>
      <c r="H5" s="25" t="s">
        <v>153</v>
      </c>
      <c r="I5" s="25"/>
      <c r="J5" s="25"/>
      <c r="K5" s="25"/>
      <c r="L5" s="25"/>
      <c r="M5" s="25"/>
      <c r="N5" s="25"/>
      <c r="O5" s="25"/>
      <c r="P5" s="25"/>
      <c r="Q5" s="26"/>
    </row>
    <row r="6" spans="1:17" ht="15.75" thickBot="1" x14ac:dyDescent="0.3">
      <c r="A6" s="24"/>
      <c r="B6" s="24" t="str">
        <f>Investment!B6</f>
        <v>Average Cost / Hectare</v>
      </c>
      <c r="C6" s="25"/>
      <c r="D6" s="25"/>
      <c r="E6" s="26" t="str">
        <f>Investment!E6</f>
        <v># Hectares</v>
      </c>
      <c r="F6" s="25"/>
      <c r="G6" s="25"/>
      <c r="H6" s="25" t="s">
        <v>22</v>
      </c>
      <c r="I6" s="25"/>
      <c r="J6" s="25"/>
      <c r="K6" s="25"/>
      <c r="L6" s="25"/>
      <c r="M6" s="25"/>
      <c r="N6" s="25"/>
      <c r="O6" s="25"/>
      <c r="P6" s="25"/>
      <c r="Q6" s="26"/>
    </row>
    <row r="7" spans="1:17" ht="15.75" thickBot="1" x14ac:dyDescent="0.3">
      <c r="A7" s="24"/>
      <c r="B7" s="27">
        <v>4500</v>
      </c>
      <c r="C7" s="28"/>
      <c r="D7" s="28"/>
      <c r="E7" s="148">
        <v>10000</v>
      </c>
      <c r="F7" s="29">
        <v>45000000</v>
      </c>
      <c r="G7" s="112" t="s">
        <v>4</v>
      </c>
      <c r="H7" s="25"/>
      <c r="I7" s="25"/>
      <c r="J7" s="25"/>
      <c r="K7" s="25"/>
      <c r="L7" s="25"/>
      <c r="M7" s="25"/>
      <c r="N7" s="25"/>
      <c r="O7" s="25"/>
      <c r="P7" s="25"/>
      <c r="Q7" s="26"/>
    </row>
    <row r="8" spans="1:17" ht="15.75" thickBot="1" x14ac:dyDescent="0.3">
      <c r="A8" s="24"/>
      <c r="B8" s="24"/>
      <c r="C8" s="25"/>
      <c r="D8" s="25"/>
      <c r="E8" s="25"/>
      <c r="F8" s="25"/>
      <c r="G8" s="112"/>
      <c r="H8" s="25" t="s">
        <v>23</v>
      </c>
      <c r="I8" s="25"/>
      <c r="J8" s="25"/>
      <c r="K8" s="25"/>
      <c r="L8" s="25"/>
      <c r="M8" s="25"/>
      <c r="N8" s="25"/>
      <c r="O8" s="25"/>
      <c r="P8" s="25"/>
      <c r="Q8" s="26"/>
    </row>
    <row r="9" spans="1:17" ht="15.75" thickBot="1" x14ac:dyDescent="0.3">
      <c r="A9" s="24"/>
      <c r="B9" s="21" t="str">
        <f>Investment!B9</f>
        <v>New Planting of Plam Trees</v>
      </c>
      <c r="C9" s="22"/>
      <c r="D9" s="22"/>
      <c r="E9" s="23" t="str">
        <f>Investment!E9</f>
        <v># Hectares</v>
      </c>
      <c r="F9" s="25"/>
      <c r="G9" s="112"/>
      <c r="H9" s="62" t="s">
        <v>24</v>
      </c>
      <c r="I9" s="127">
        <f>'A B Farm'!B54</f>
        <v>0.14215115495695563</v>
      </c>
      <c r="J9" s="25" t="s">
        <v>25</v>
      </c>
      <c r="K9" s="25"/>
      <c r="L9" s="25"/>
      <c r="M9" s="25"/>
      <c r="N9" s="25"/>
      <c r="O9" s="25"/>
      <c r="P9" s="25"/>
      <c r="Q9" s="26"/>
    </row>
    <row r="10" spans="1:17" ht="15.75" thickBot="1" x14ac:dyDescent="0.3">
      <c r="A10" s="24"/>
      <c r="B10" s="27">
        <v>6000</v>
      </c>
      <c r="C10" s="30"/>
      <c r="D10" s="30"/>
      <c r="E10" s="148">
        <v>6200</v>
      </c>
      <c r="F10" s="29">
        <f>E10*B10</f>
        <v>37200000</v>
      </c>
      <c r="G10" s="112" t="s">
        <v>6</v>
      </c>
      <c r="H10" s="231" t="s">
        <v>26</v>
      </c>
      <c r="I10" s="25"/>
      <c r="J10" s="25"/>
      <c r="K10" s="25"/>
      <c r="L10" s="25"/>
      <c r="M10" s="25"/>
      <c r="N10" s="25"/>
      <c r="O10" s="25"/>
      <c r="P10" s="25"/>
      <c r="Q10" s="26"/>
    </row>
    <row r="11" spans="1:17" x14ac:dyDescent="0.25">
      <c r="A11" s="24"/>
      <c r="B11" s="24"/>
      <c r="C11" s="25"/>
      <c r="D11" s="25"/>
      <c r="E11" s="25"/>
      <c r="F11" s="25"/>
      <c r="G11" s="112"/>
      <c r="H11" s="25" t="s">
        <v>27</v>
      </c>
      <c r="I11" s="25"/>
      <c r="J11" s="25"/>
      <c r="K11" s="25"/>
      <c r="L11" s="25"/>
      <c r="M11" s="25" t="s">
        <v>28</v>
      </c>
      <c r="N11" s="25"/>
      <c r="O11" s="25"/>
      <c r="P11" s="25"/>
      <c r="Q11" s="26"/>
    </row>
    <row r="12" spans="1:17" ht="15.75" thickBot="1" x14ac:dyDescent="0.3">
      <c r="A12" s="24"/>
      <c r="B12" s="31"/>
      <c r="C12" s="30"/>
      <c r="D12" s="30"/>
      <c r="E12" s="30"/>
      <c r="F12" s="30"/>
      <c r="G12" s="128"/>
      <c r="H12" s="30"/>
      <c r="I12" s="30"/>
      <c r="J12" s="30"/>
      <c r="K12" s="30"/>
      <c r="L12" s="30"/>
      <c r="M12" s="30"/>
      <c r="N12" s="30"/>
      <c r="O12" s="30"/>
      <c r="P12" s="30"/>
      <c r="Q12" s="32"/>
    </row>
    <row r="13" spans="1:17" ht="15.75" thickBot="1" x14ac:dyDescent="0.3">
      <c r="A13" s="24"/>
      <c r="B13" s="25"/>
      <c r="C13" s="25"/>
      <c r="D13" s="25"/>
      <c r="E13" s="25"/>
      <c r="F13" s="25"/>
      <c r="G13" s="112"/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1:17" ht="15.75" thickBot="1" x14ac:dyDescent="0.3">
      <c r="A14" s="24"/>
      <c r="B14" s="21"/>
      <c r="C14" s="22"/>
      <c r="D14" s="22"/>
      <c r="E14" s="22"/>
      <c r="F14" s="22"/>
      <c r="G14" s="129"/>
      <c r="H14" s="22"/>
      <c r="I14" s="22"/>
      <c r="J14" s="22"/>
      <c r="K14" s="22"/>
      <c r="L14" s="22"/>
      <c r="M14" s="22"/>
      <c r="N14" s="22"/>
      <c r="O14" s="22"/>
      <c r="P14" s="22"/>
      <c r="Q14" s="23"/>
    </row>
    <row r="15" spans="1:17" ht="15.75" thickBot="1" x14ac:dyDescent="0.3">
      <c r="A15" s="24"/>
      <c r="B15" s="21" t="str">
        <f>Investment!B12</f>
        <v>Extraction Mill</v>
      </c>
      <c r="C15" s="22"/>
      <c r="D15" s="22"/>
      <c r="E15" s="23"/>
      <c r="F15" s="29">
        <v>6000000</v>
      </c>
      <c r="G15" s="112" t="s">
        <v>8</v>
      </c>
      <c r="H15" s="25" t="s">
        <v>29</v>
      </c>
      <c r="I15" s="25"/>
      <c r="J15" s="25"/>
      <c r="K15" s="25"/>
      <c r="L15" s="25"/>
      <c r="M15" s="25"/>
      <c r="N15" s="25"/>
      <c r="O15" s="25"/>
      <c r="P15" s="25"/>
      <c r="Q15" s="26"/>
    </row>
    <row r="16" spans="1:17" ht="15.75" thickBot="1" x14ac:dyDescent="0.3">
      <c r="A16" s="24"/>
      <c r="B16" s="31" t="str">
        <f>Investment!B13</f>
        <v>Working Capital</v>
      </c>
      <c r="C16" s="30"/>
      <c r="D16" s="30"/>
      <c r="E16" s="32"/>
      <c r="F16" s="29">
        <v>1800000</v>
      </c>
      <c r="G16" s="112" t="s">
        <v>10</v>
      </c>
      <c r="H16" s="25" t="s">
        <v>154</v>
      </c>
      <c r="I16" s="25"/>
      <c r="J16" s="25"/>
      <c r="K16" s="25"/>
      <c r="L16" s="25"/>
      <c r="M16" s="25"/>
      <c r="N16" s="25"/>
      <c r="O16" s="25"/>
      <c r="P16" s="25"/>
      <c r="Q16" s="26"/>
    </row>
    <row r="17" spans="1:17" x14ac:dyDescent="0.25">
      <c r="A17" s="24"/>
      <c r="B17" s="24"/>
      <c r="C17" s="25"/>
      <c r="D17" s="25"/>
      <c r="E17" s="25"/>
      <c r="F17" s="34"/>
      <c r="G17" s="112"/>
      <c r="H17" s="231" t="s">
        <v>155</v>
      </c>
      <c r="I17" s="25"/>
      <c r="J17" s="25"/>
      <c r="K17" s="25"/>
      <c r="L17" s="25"/>
      <c r="M17" s="25"/>
      <c r="N17" s="25"/>
      <c r="O17" s="25"/>
      <c r="P17" s="25"/>
      <c r="Q17" s="26"/>
    </row>
    <row r="18" spans="1:17" x14ac:dyDescent="0.25">
      <c r="A18" s="24"/>
      <c r="B18" s="24"/>
      <c r="C18" s="25"/>
      <c r="D18" s="25"/>
      <c r="E18" s="25"/>
      <c r="F18" s="34"/>
      <c r="G18" s="112"/>
      <c r="H18" s="62" t="s">
        <v>24</v>
      </c>
      <c r="I18" s="130">
        <f>'C D Extraction Mill'!B34</f>
        <v>0.27054078068660004</v>
      </c>
      <c r="J18" s="25" t="s">
        <v>30</v>
      </c>
      <c r="K18" s="25"/>
      <c r="L18" s="25"/>
      <c r="M18" s="25"/>
      <c r="N18" s="25"/>
      <c r="O18" s="25"/>
      <c r="P18" s="25"/>
      <c r="Q18" s="26"/>
    </row>
    <row r="19" spans="1:17" x14ac:dyDescent="0.25">
      <c r="A19" s="24"/>
      <c r="B19" s="24"/>
      <c r="C19" s="25"/>
      <c r="D19" s="25"/>
      <c r="E19" s="25"/>
      <c r="F19" s="34"/>
      <c r="G19" s="112"/>
      <c r="H19" s="25"/>
      <c r="I19" s="25"/>
      <c r="J19" s="25"/>
      <c r="K19" s="25"/>
      <c r="L19" s="25"/>
      <c r="M19" s="25"/>
      <c r="N19" s="25"/>
      <c r="O19" s="25"/>
      <c r="P19" s="25"/>
      <c r="Q19" s="26"/>
    </row>
    <row r="20" spans="1:17" ht="15.75" thickBot="1" x14ac:dyDescent="0.3">
      <c r="A20" s="24"/>
      <c r="B20" s="31"/>
      <c r="C20" s="30"/>
      <c r="D20" s="30"/>
      <c r="E20" s="30"/>
      <c r="F20" s="28"/>
      <c r="G20" s="128"/>
      <c r="H20" s="30"/>
      <c r="I20" s="30"/>
      <c r="J20" s="30"/>
      <c r="K20" s="30"/>
      <c r="L20" s="30"/>
      <c r="M20" s="30"/>
      <c r="N20" s="30"/>
      <c r="O20" s="30"/>
      <c r="P20" s="30"/>
      <c r="Q20" s="32"/>
    </row>
    <row r="21" spans="1:17" ht="15.75" thickBot="1" x14ac:dyDescent="0.3">
      <c r="A21" s="24"/>
      <c r="B21" s="25"/>
      <c r="C21" s="25"/>
      <c r="D21" s="25"/>
      <c r="E21" s="25"/>
      <c r="F21" s="34"/>
      <c r="G21" s="112"/>
    </row>
    <row r="22" spans="1:17" ht="15.75" thickBot="1" x14ac:dyDescent="0.3">
      <c r="A22" s="24"/>
      <c r="B22" s="21"/>
      <c r="C22" s="22"/>
      <c r="D22" s="22"/>
      <c r="E22" s="22"/>
      <c r="F22" s="131"/>
      <c r="G22" s="129"/>
      <c r="H22" s="22"/>
      <c r="I22" s="22"/>
      <c r="J22" s="22"/>
      <c r="K22" s="22"/>
      <c r="L22" s="22"/>
      <c r="M22" s="22"/>
      <c r="N22" s="22"/>
      <c r="O22" s="22"/>
      <c r="P22" s="22"/>
      <c r="Q22" s="23"/>
    </row>
    <row r="23" spans="1:17" ht="15.75" thickBot="1" x14ac:dyDescent="0.3">
      <c r="A23" s="24"/>
      <c r="B23" s="21" t="str">
        <f>Investment!B15</f>
        <v>Palm Oil Refinery and Fractioning Plant</v>
      </c>
      <c r="C23" s="22"/>
      <c r="D23" s="22"/>
      <c r="E23" s="23"/>
      <c r="F23" s="25"/>
      <c r="G23" s="112"/>
      <c r="H23" s="25" t="s">
        <v>31</v>
      </c>
      <c r="I23" s="25"/>
      <c r="J23" s="25"/>
      <c r="K23" s="25"/>
      <c r="L23" s="25"/>
      <c r="M23" s="25"/>
      <c r="N23" s="25"/>
      <c r="O23" s="25"/>
      <c r="P23" s="25"/>
      <c r="Q23" s="26"/>
    </row>
    <row r="24" spans="1:17" ht="15.75" thickBot="1" x14ac:dyDescent="0.3">
      <c r="A24" s="24"/>
      <c r="B24" s="24" t="str">
        <f>Investment!B16</f>
        <v>Capacity of 400 TM/day</v>
      </c>
      <c r="C24" s="25"/>
      <c r="D24" s="25"/>
      <c r="E24" s="26"/>
      <c r="F24" s="29">
        <v>13000000</v>
      </c>
      <c r="G24" s="112" t="s">
        <v>13</v>
      </c>
      <c r="H24" s="62" t="s">
        <v>24</v>
      </c>
      <c r="I24" s="127">
        <f>'E F Refinery'!A28</f>
        <v>0.20524025105510635</v>
      </c>
      <c r="J24" s="25" t="s">
        <v>156</v>
      </c>
      <c r="K24" s="25"/>
      <c r="L24" s="25"/>
      <c r="M24" s="25"/>
      <c r="N24" s="25"/>
      <c r="O24" s="25"/>
      <c r="P24" s="25"/>
      <c r="Q24" s="26"/>
    </row>
    <row r="25" spans="1:17" ht="15.75" thickBot="1" x14ac:dyDescent="0.3">
      <c r="A25" s="24"/>
      <c r="B25" s="31" t="str">
        <f>Investment!B17</f>
        <v>Working Capital</v>
      </c>
      <c r="C25" s="30"/>
      <c r="D25" s="30"/>
      <c r="E25" s="32"/>
      <c r="F25" s="29">
        <v>4000000</v>
      </c>
      <c r="G25" s="112" t="s">
        <v>14</v>
      </c>
      <c r="H25" s="25"/>
      <c r="I25" s="25"/>
      <c r="J25" s="25"/>
      <c r="K25" s="25"/>
      <c r="L25" s="25"/>
      <c r="M25" s="25"/>
      <c r="N25" s="25"/>
      <c r="O25" s="25"/>
      <c r="P25" s="25"/>
      <c r="Q25" s="26"/>
    </row>
    <row r="26" spans="1:17" x14ac:dyDescent="0.25">
      <c r="A26" s="24"/>
      <c r="B26" s="24"/>
      <c r="C26" s="25"/>
      <c r="D26" s="25"/>
      <c r="E26" s="25"/>
      <c r="F26" s="25"/>
      <c r="G26" s="112"/>
      <c r="H26" s="25" t="s">
        <v>32</v>
      </c>
      <c r="I26" s="25"/>
      <c r="J26" s="25"/>
      <c r="K26" s="25"/>
      <c r="L26" s="25"/>
      <c r="M26" s="25"/>
      <c r="N26" s="25"/>
      <c r="O26" s="25"/>
      <c r="P26" s="25"/>
      <c r="Q26" s="26"/>
    </row>
    <row r="27" spans="1:17" x14ac:dyDescent="0.25">
      <c r="A27" s="24"/>
      <c r="B27" s="24"/>
      <c r="C27" s="25"/>
      <c r="D27" s="25"/>
      <c r="E27" s="25"/>
      <c r="F27" s="25"/>
      <c r="G27" s="112"/>
      <c r="H27" s="25" t="s">
        <v>33</v>
      </c>
      <c r="I27" s="25"/>
      <c r="J27" s="25"/>
      <c r="K27" s="25"/>
      <c r="L27" s="25"/>
      <c r="M27" s="25"/>
      <c r="N27" s="25"/>
      <c r="O27" s="25"/>
      <c r="P27" s="25"/>
      <c r="Q27" s="26"/>
    </row>
    <row r="28" spans="1:17" x14ac:dyDescent="0.25">
      <c r="A28" s="24"/>
      <c r="B28" s="24"/>
      <c r="C28" s="25"/>
      <c r="D28" s="25"/>
      <c r="E28" s="25"/>
      <c r="F28" s="25"/>
      <c r="G28" s="112"/>
      <c r="H28" s="25" t="s">
        <v>34</v>
      </c>
      <c r="I28" s="25"/>
      <c r="J28" s="25"/>
      <c r="K28" s="25"/>
      <c r="L28" s="25"/>
      <c r="M28" s="25"/>
      <c r="N28" s="25"/>
      <c r="O28" s="25"/>
      <c r="P28" s="25"/>
      <c r="Q28" s="26"/>
    </row>
    <row r="29" spans="1:17" ht="15.75" thickBot="1" x14ac:dyDescent="0.3">
      <c r="A29" s="24"/>
      <c r="B29" s="31"/>
      <c r="C29" s="30"/>
      <c r="D29" s="30"/>
      <c r="E29" s="30"/>
      <c r="F29" s="30"/>
      <c r="G29" s="128"/>
      <c r="H29" s="30"/>
      <c r="I29" s="30"/>
      <c r="J29" s="30"/>
      <c r="K29" s="30"/>
      <c r="L29" s="30"/>
      <c r="M29" s="30"/>
      <c r="N29" s="30"/>
      <c r="O29" s="30"/>
      <c r="P29" s="30"/>
      <c r="Q29" s="32"/>
    </row>
    <row r="30" spans="1:17" ht="15.75" thickBot="1" x14ac:dyDescent="0.3">
      <c r="A30" s="24"/>
      <c r="B30" s="25"/>
      <c r="C30" s="25"/>
      <c r="D30" s="25"/>
      <c r="E30" s="25"/>
      <c r="F30" s="25"/>
      <c r="G30" s="112"/>
    </row>
    <row r="31" spans="1:17" ht="15.75" thickBot="1" x14ac:dyDescent="0.3">
      <c r="A31" s="24"/>
      <c r="B31" s="21"/>
      <c r="C31" s="22"/>
      <c r="D31" s="22"/>
      <c r="E31" s="22"/>
      <c r="F31" s="22"/>
      <c r="G31" s="129"/>
      <c r="H31" s="22"/>
      <c r="I31" s="22"/>
      <c r="J31" s="22"/>
      <c r="K31" s="22"/>
      <c r="L31" s="22"/>
      <c r="M31" s="22"/>
      <c r="N31" s="22"/>
      <c r="O31" s="22"/>
      <c r="P31" s="22"/>
      <c r="Q31" s="23"/>
    </row>
    <row r="32" spans="1:17" x14ac:dyDescent="0.25">
      <c r="A32" s="24"/>
      <c r="B32" s="21" t="str">
        <f>Investment!B19</f>
        <v>Biomass Unit Generation</v>
      </c>
      <c r="C32" s="22"/>
      <c r="D32" s="22"/>
      <c r="E32" s="23"/>
      <c r="F32" s="25"/>
      <c r="G32" s="112"/>
      <c r="H32" s="25" t="s">
        <v>35</v>
      </c>
      <c r="I32" s="25"/>
      <c r="J32" s="25"/>
      <c r="K32" s="25"/>
      <c r="L32" s="25"/>
      <c r="M32" s="25"/>
      <c r="N32" s="25"/>
      <c r="O32" s="25"/>
      <c r="P32" s="25"/>
      <c r="Q32" s="26"/>
    </row>
    <row r="33" spans="1:17" ht="15.75" thickBot="1" x14ac:dyDescent="0.3">
      <c r="A33" s="24"/>
      <c r="B33" s="24" t="str">
        <f>Investment!B20</f>
        <v>Generation with Biogas</v>
      </c>
      <c r="C33" s="25"/>
      <c r="D33" s="25"/>
      <c r="E33" s="26"/>
      <c r="F33" s="25"/>
      <c r="G33" s="112"/>
      <c r="H33" s="25" t="s">
        <v>36</v>
      </c>
      <c r="I33" s="25"/>
      <c r="J33" s="25"/>
      <c r="K33" s="25"/>
      <c r="L33" s="25"/>
      <c r="M33" s="25"/>
      <c r="N33" s="25"/>
      <c r="O33" s="25"/>
      <c r="P33" s="25"/>
      <c r="Q33" s="26"/>
    </row>
    <row r="34" spans="1:17" ht="15.75" thickBot="1" x14ac:dyDescent="0.3">
      <c r="A34" s="24"/>
      <c r="B34" s="31" t="str">
        <f>Investment!B21</f>
        <v>Production Plant of Brikets of Biomass</v>
      </c>
      <c r="C34" s="30"/>
      <c r="D34" s="30"/>
      <c r="E34" s="32"/>
      <c r="F34" s="29">
        <v>7400000</v>
      </c>
      <c r="G34" s="112" t="s">
        <v>18</v>
      </c>
      <c r="H34" s="25" t="s">
        <v>37</v>
      </c>
      <c r="I34" s="25"/>
      <c r="J34" s="25"/>
      <c r="K34" s="25"/>
      <c r="L34" s="25"/>
      <c r="M34" s="25"/>
      <c r="N34" s="25"/>
      <c r="O34" s="25"/>
      <c r="P34" s="25"/>
      <c r="Q34" s="26"/>
    </row>
    <row r="35" spans="1:17" x14ac:dyDescent="0.25">
      <c r="A35" s="24"/>
      <c r="B35" s="24"/>
      <c r="C35" s="25"/>
      <c r="D35" s="25"/>
      <c r="E35" s="25"/>
      <c r="F35" s="34"/>
      <c r="G35" s="112"/>
      <c r="H35" s="62" t="s">
        <v>24</v>
      </c>
      <c r="I35" s="130">
        <f>'G Biomass'!B26</f>
        <v>7.2376084028204168E-2</v>
      </c>
      <c r="J35" s="25"/>
      <c r="K35" s="25"/>
      <c r="L35" s="25"/>
      <c r="M35" s="25"/>
      <c r="N35" s="25"/>
      <c r="O35" s="25"/>
      <c r="P35" s="25"/>
      <c r="Q35" s="26"/>
    </row>
    <row r="36" spans="1:17" ht="15.75" thickBot="1" x14ac:dyDescent="0.3">
      <c r="A36" s="24"/>
      <c r="B36" s="31"/>
      <c r="C36" s="30"/>
      <c r="D36" s="30"/>
      <c r="E36" s="30"/>
      <c r="F36" s="28"/>
      <c r="G36" s="128"/>
      <c r="H36" s="69"/>
      <c r="I36" s="132"/>
      <c r="J36" s="30"/>
      <c r="K36" s="30"/>
      <c r="L36" s="30"/>
      <c r="M36" s="30"/>
      <c r="N36" s="30"/>
      <c r="O36" s="30"/>
      <c r="P36" s="30"/>
      <c r="Q36" s="32"/>
    </row>
    <row r="37" spans="1:17" ht="15.75" thickBot="1" x14ac:dyDescent="0.3">
      <c r="A37" s="24"/>
      <c r="B37" s="25"/>
      <c r="C37" s="25"/>
      <c r="D37" s="25"/>
      <c r="E37" s="25"/>
      <c r="F37" s="34"/>
      <c r="G37" s="112"/>
      <c r="H37" s="36"/>
      <c r="I37" s="114"/>
    </row>
    <row r="38" spans="1:17" ht="15.75" thickBot="1" x14ac:dyDescent="0.3">
      <c r="A38" s="24"/>
      <c r="B38" s="21"/>
      <c r="C38" s="22"/>
      <c r="D38" s="22"/>
      <c r="E38" s="22"/>
      <c r="F38" s="131"/>
      <c r="G38" s="129"/>
      <c r="H38" s="134"/>
      <c r="I38" s="135"/>
      <c r="J38" s="22"/>
      <c r="K38" s="22"/>
      <c r="L38" s="22"/>
      <c r="M38" s="22"/>
      <c r="N38" s="22"/>
      <c r="O38" s="22"/>
      <c r="P38" s="22"/>
      <c r="Q38" s="23"/>
    </row>
    <row r="39" spans="1:17" ht="15.75" thickBot="1" x14ac:dyDescent="0.3">
      <c r="A39" s="24"/>
      <c r="B39" s="21" t="str">
        <f>Investment!B23</f>
        <v>Finance Fees, Costs and Animal Purchase</v>
      </c>
      <c r="C39" s="22"/>
      <c r="D39" s="22"/>
      <c r="E39" s="23"/>
      <c r="F39" s="34"/>
      <c r="G39" s="112"/>
      <c r="H39" s="136" t="s">
        <v>38</v>
      </c>
      <c r="I39" s="25"/>
      <c r="J39" s="25"/>
      <c r="K39" s="25"/>
      <c r="L39" s="25"/>
      <c r="M39" s="25"/>
      <c r="N39" s="25"/>
      <c r="O39" s="25"/>
      <c r="P39" s="25"/>
      <c r="Q39" s="26"/>
    </row>
    <row r="40" spans="1:17" ht="15.75" thickBot="1" x14ac:dyDescent="0.3">
      <c r="A40" s="24"/>
      <c r="B40" s="31" t="str">
        <f>Investment!E27</f>
        <v>Total 12%</v>
      </c>
      <c r="C40" s="30"/>
      <c r="D40" s="30"/>
      <c r="E40" s="32"/>
      <c r="F40" s="29">
        <f>Investment!F27</f>
        <v>15600000</v>
      </c>
      <c r="G40" s="112" t="s">
        <v>19</v>
      </c>
      <c r="H40" s="137"/>
      <c r="I40" s="25"/>
      <c r="J40" s="25"/>
      <c r="K40" s="25"/>
      <c r="L40" s="25"/>
      <c r="M40" s="25"/>
      <c r="N40" s="25"/>
      <c r="O40" s="25"/>
      <c r="P40" s="25"/>
      <c r="Q40" s="26"/>
    </row>
    <row r="41" spans="1:17" ht="15.75" thickBot="1" x14ac:dyDescent="0.3">
      <c r="A41" s="24"/>
      <c r="B41" s="31"/>
      <c r="C41" s="30"/>
      <c r="D41" s="30"/>
      <c r="E41" s="30"/>
      <c r="F41" s="28"/>
      <c r="G41" s="128"/>
      <c r="H41" s="30"/>
      <c r="I41" s="30"/>
      <c r="J41" s="30"/>
      <c r="K41" s="30"/>
      <c r="L41" s="30"/>
      <c r="M41" s="30"/>
      <c r="N41" s="30"/>
      <c r="O41" s="30"/>
      <c r="P41" s="30"/>
      <c r="Q41" s="32"/>
    </row>
    <row r="42" spans="1:17" ht="15.75" thickBot="1" x14ac:dyDescent="0.3">
      <c r="A42" s="24"/>
      <c r="B42" s="25"/>
      <c r="C42" s="25"/>
      <c r="D42" s="25"/>
      <c r="E42" s="34"/>
      <c r="F42" s="133">
        <f>SUM(F7:F40)</f>
        <v>130000000</v>
      </c>
      <c r="G42" s="113" t="s">
        <v>151</v>
      </c>
    </row>
    <row r="43" spans="1:17" x14ac:dyDescent="0.25">
      <c r="A43" s="24"/>
      <c r="B43" s="25"/>
      <c r="C43" s="25"/>
      <c r="D43" s="25"/>
      <c r="E43" s="25"/>
      <c r="F43" s="25"/>
      <c r="G43" s="25"/>
    </row>
    <row r="44" spans="1:17" x14ac:dyDescent="0.25">
      <c r="A44" s="25"/>
      <c r="B44" s="25"/>
      <c r="C44" s="25"/>
      <c r="D44" s="25"/>
      <c r="E44" s="25"/>
      <c r="F44" s="25"/>
      <c r="G44" s="25"/>
    </row>
  </sheetData>
  <mergeCells count="1">
    <mergeCell ref="B3:Q3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  <pageSetUpPr fitToPage="1"/>
  </sheetPr>
  <dimension ref="A1:AF54"/>
  <sheetViews>
    <sheetView topLeftCell="A39" zoomScaleNormal="100" workbookViewId="0">
      <selection activeCell="I55" sqref="I55"/>
    </sheetView>
  </sheetViews>
  <sheetFormatPr baseColWidth="10" defaultColWidth="11.42578125" defaultRowHeight="15" x14ac:dyDescent="0.25"/>
  <cols>
    <col min="1" max="1" width="22.28515625" style="1" customWidth="1"/>
    <col min="2" max="2" width="12.140625" style="1" bestFit="1" customWidth="1"/>
    <col min="3" max="3" width="13.85546875" style="36" customWidth="1"/>
    <col min="4" max="9" width="13" style="36" bestFit="1" customWidth="1"/>
    <col min="10" max="10" width="12.5703125" style="36" bestFit="1" customWidth="1"/>
    <col min="11" max="11" width="12.85546875" style="36" bestFit="1" customWidth="1"/>
    <col min="12" max="12" width="13" style="36" bestFit="1" customWidth="1"/>
    <col min="13" max="30" width="13" style="36" customWidth="1"/>
    <col min="31" max="32" width="12.5703125" style="36" bestFit="1" customWidth="1"/>
    <col min="33" max="16384" width="11.42578125" style="36"/>
  </cols>
  <sheetData>
    <row r="1" spans="1:24" x14ac:dyDescent="0.25">
      <c r="A1" s="155" t="s">
        <v>39</v>
      </c>
      <c r="S1" s="1" t="s">
        <v>40</v>
      </c>
      <c r="T1" s="1"/>
      <c r="U1" s="1"/>
      <c r="V1" s="1"/>
      <c r="W1" s="1"/>
      <c r="X1" s="1"/>
    </row>
    <row r="2" spans="1:24" x14ac:dyDescent="0.25">
      <c r="B2" s="1" t="s">
        <v>41</v>
      </c>
      <c r="C2" s="1">
        <v>1</v>
      </c>
      <c r="D2" s="1">
        <v>2</v>
      </c>
      <c r="E2" s="1">
        <v>3</v>
      </c>
      <c r="F2" s="1">
        <v>4</v>
      </c>
      <c r="G2" s="1">
        <v>5</v>
      </c>
      <c r="H2" s="1">
        <v>6</v>
      </c>
      <c r="I2" s="1">
        <v>7</v>
      </c>
      <c r="J2" s="1">
        <v>8</v>
      </c>
      <c r="K2" s="1">
        <v>9</v>
      </c>
      <c r="L2" s="1">
        <v>10</v>
      </c>
      <c r="M2" s="1">
        <v>11</v>
      </c>
      <c r="N2" s="1">
        <v>12</v>
      </c>
      <c r="O2" s="1">
        <v>13</v>
      </c>
      <c r="P2" s="1">
        <v>14</v>
      </c>
      <c r="Q2" s="1">
        <v>15</v>
      </c>
      <c r="S2" s="5">
        <v>6000</v>
      </c>
      <c r="T2" s="1" t="s">
        <v>42</v>
      </c>
      <c r="U2" s="1"/>
      <c r="V2" s="1"/>
      <c r="W2" s="1"/>
      <c r="X2" s="1"/>
    </row>
    <row r="3" spans="1:24" x14ac:dyDescent="0.25">
      <c r="A3" s="116" t="s">
        <v>43</v>
      </c>
      <c r="C3" s="117">
        <v>2019</v>
      </c>
      <c r="D3" s="117">
        <v>2020</v>
      </c>
      <c r="E3" s="117">
        <v>2021</v>
      </c>
      <c r="F3" s="117">
        <v>2022</v>
      </c>
      <c r="G3" s="117">
        <v>2023</v>
      </c>
      <c r="H3" s="117">
        <v>2024</v>
      </c>
      <c r="I3" s="117">
        <v>2025</v>
      </c>
      <c r="J3" s="117">
        <v>2026</v>
      </c>
      <c r="K3" s="117">
        <v>2027</v>
      </c>
      <c r="L3" s="117">
        <v>2028</v>
      </c>
      <c r="M3" s="117">
        <v>2029</v>
      </c>
      <c r="N3" s="117">
        <v>2030</v>
      </c>
      <c r="O3" s="117"/>
      <c r="P3" s="117"/>
      <c r="Q3" s="117"/>
      <c r="S3" s="1" t="s">
        <v>44</v>
      </c>
      <c r="T3" s="1" t="s">
        <v>45</v>
      </c>
      <c r="U3" s="1" t="s">
        <v>46</v>
      </c>
      <c r="V3" s="1" t="s">
        <v>47</v>
      </c>
      <c r="W3" s="1" t="s">
        <v>48</v>
      </c>
      <c r="X3" s="1"/>
    </row>
    <row r="4" spans="1:24" ht="8.25" customHeight="1" x14ac:dyDescent="0.25"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S4" s="9">
        <v>0.4</v>
      </c>
      <c r="T4" s="9">
        <v>0.25</v>
      </c>
      <c r="U4" s="9">
        <v>0.15</v>
      </c>
      <c r="V4" s="9">
        <v>0.1</v>
      </c>
      <c r="W4" s="9">
        <v>0.1</v>
      </c>
      <c r="X4" s="4">
        <f>SUM(S4:W4)</f>
        <v>1</v>
      </c>
    </row>
    <row r="5" spans="1:24" ht="15.75" thickBot="1" x14ac:dyDescent="0.3">
      <c r="B5" s="1" t="s">
        <v>49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S5" s="147">
        <f>$S$2*S4</f>
        <v>2400</v>
      </c>
      <c r="T5" s="147">
        <f>$S$2*T4</f>
        <v>1500</v>
      </c>
      <c r="U5" s="147">
        <f>$S$2*U4</f>
        <v>900</v>
      </c>
      <c r="V5" s="147">
        <f>$S$2*V4</f>
        <v>600</v>
      </c>
      <c r="W5" s="147">
        <f>$S$2*W4</f>
        <v>600</v>
      </c>
      <c r="X5" s="147">
        <f>SUM(S5:W5)</f>
        <v>6000</v>
      </c>
    </row>
    <row r="6" spans="1:24" x14ac:dyDescent="0.25">
      <c r="A6" s="1" t="s">
        <v>50</v>
      </c>
      <c r="B6" s="7">
        <v>3800</v>
      </c>
      <c r="C6" s="37">
        <f t="shared" ref="C6:N6" si="0">$B$6*$S$8</f>
        <v>6270000</v>
      </c>
      <c r="D6" s="37">
        <f t="shared" si="0"/>
        <v>6270000</v>
      </c>
      <c r="E6" s="37">
        <f t="shared" si="0"/>
        <v>6270000</v>
      </c>
      <c r="F6" s="37">
        <f t="shared" si="0"/>
        <v>6270000</v>
      </c>
      <c r="G6" s="37">
        <f t="shared" si="0"/>
        <v>6270000</v>
      </c>
      <c r="H6" s="37">
        <f t="shared" si="0"/>
        <v>6270000</v>
      </c>
      <c r="I6" s="37">
        <f t="shared" si="0"/>
        <v>6270000</v>
      </c>
      <c r="J6" s="37">
        <f t="shared" si="0"/>
        <v>6270000</v>
      </c>
      <c r="K6" s="37">
        <f t="shared" si="0"/>
        <v>6270000</v>
      </c>
      <c r="L6" s="37">
        <f t="shared" si="0"/>
        <v>6270000</v>
      </c>
      <c r="M6" s="37">
        <f t="shared" si="0"/>
        <v>6270000</v>
      </c>
      <c r="N6" s="37">
        <f t="shared" si="0"/>
        <v>6270000</v>
      </c>
      <c r="O6" s="37">
        <f t="shared" ref="O6:Q6" si="1">$B$6*$S$8</f>
        <v>6270000</v>
      </c>
      <c r="P6" s="37">
        <f t="shared" si="1"/>
        <v>6270000</v>
      </c>
      <c r="Q6" s="37">
        <f t="shared" si="1"/>
        <v>6270000</v>
      </c>
      <c r="S6" s="212" t="s">
        <v>51</v>
      </c>
      <c r="T6" s="213"/>
      <c r="U6" s="214"/>
      <c r="V6" s="38"/>
      <c r="W6" s="38"/>
    </row>
    <row r="7" spans="1:24" ht="8.25" customHeight="1" thickBot="1" x14ac:dyDescent="0.3">
      <c r="B7" s="7"/>
      <c r="C7" s="9">
        <f>$S$4</f>
        <v>0.4</v>
      </c>
      <c r="D7" s="9">
        <f>$T$4</f>
        <v>0.25</v>
      </c>
      <c r="E7" s="9">
        <f>$U$4</f>
        <v>0.15</v>
      </c>
      <c r="F7" s="9">
        <f>$V$4</f>
        <v>0.1</v>
      </c>
      <c r="G7" s="9">
        <f>$W$4</f>
        <v>0.1</v>
      </c>
      <c r="H7" s="37"/>
      <c r="I7" s="37"/>
      <c r="J7" s="37"/>
      <c r="K7" s="37"/>
      <c r="L7" s="37"/>
      <c r="M7" s="37"/>
      <c r="N7" s="37"/>
      <c r="O7" s="37"/>
      <c r="P7" s="37"/>
      <c r="Q7" s="37"/>
      <c r="S7" s="215"/>
      <c r="T7" s="216"/>
      <c r="U7" s="217"/>
      <c r="V7" s="38"/>
      <c r="W7" s="38"/>
    </row>
    <row r="8" spans="1:24" ht="15.75" thickBot="1" x14ac:dyDescent="0.3">
      <c r="A8" s="96" t="s">
        <v>52</v>
      </c>
      <c r="B8" s="7">
        <v>2000</v>
      </c>
      <c r="C8" s="37">
        <f>($S$2*$B$8)*C7</f>
        <v>4800000</v>
      </c>
      <c r="D8" s="37">
        <f>($S$2*$B$8)*D7</f>
        <v>3000000</v>
      </c>
      <c r="E8" s="37">
        <f>($S$2*$B$8)*E7</f>
        <v>1800000</v>
      </c>
      <c r="F8" s="37">
        <f>($S$2*$B$8)*F7</f>
        <v>1200000</v>
      </c>
      <c r="G8" s="37">
        <f>($S$2*$B$8)*G7</f>
        <v>1200000</v>
      </c>
      <c r="H8" s="37">
        <f t="shared" ref="H8:N8" si="2">$S$8*$B$8</f>
        <v>3300000</v>
      </c>
      <c r="I8" s="37">
        <f t="shared" si="2"/>
        <v>3300000</v>
      </c>
      <c r="J8" s="37">
        <f t="shared" si="2"/>
        <v>3300000</v>
      </c>
      <c r="K8" s="37">
        <f t="shared" si="2"/>
        <v>3300000</v>
      </c>
      <c r="L8" s="37">
        <f t="shared" si="2"/>
        <v>3300000</v>
      </c>
      <c r="M8" s="37">
        <f t="shared" si="2"/>
        <v>3300000</v>
      </c>
      <c r="N8" s="37">
        <f t="shared" si="2"/>
        <v>3300000</v>
      </c>
      <c r="O8" s="37">
        <f t="shared" ref="O8:Q8" si="3">$S$8*$B$8</f>
        <v>3300000</v>
      </c>
      <c r="P8" s="37">
        <f t="shared" si="3"/>
        <v>3300000</v>
      </c>
      <c r="Q8" s="37">
        <f t="shared" si="3"/>
        <v>3300000</v>
      </c>
      <c r="S8" s="218">
        <v>1650</v>
      </c>
      <c r="T8" s="219"/>
      <c r="U8" s="220"/>
    </row>
    <row r="9" spans="1:24" ht="8.25" customHeight="1" x14ac:dyDescent="0.25">
      <c r="B9" s="7"/>
      <c r="C9" s="10"/>
      <c r="D9" s="9">
        <f>$S$4</f>
        <v>0.4</v>
      </c>
      <c r="E9" s="9">
        <f>$T$4</f>
        <v>0.25</v>
      </c>
      <c r="F9" s="9">
        <f>$U$4</f>
        <v>0.15</v>
      </c>
      <c r="G9" s="9">
        <f>$V$4</f>
        <v>0.1</v>
      </c>
      <c r="H9" s="9">
        <f>$W$4</f>
        <v>0.1</v>
      </c>
      <c r="I9" s="37"/>
      <c r="J9" s="37"/>
      <c r="K9" s="37"/>
      <c r="L9" s="37"/>
      <c r="M9" s="37"/>
      <c r="N9" s="37"/>
      <c r="O9" s="37"/>
      <c r="P9" s="37"/>
      <c r="Q9" s="37"/>
      <c r="S9" s="38"/>
      <c r="T9" s="38"/>
      <c r="U9" s="38"/>
      <c r="V9" s="38"/>
      <c r="W9" s="38"/>
    </row>
    <row r="10" spans="1:24" x14ac:dyDescent="0.25">
      <c r="A10" s="96" t="s">
        <v>53</v>
      </c>
      <c r="B10" s="7">
        <v>2000</v>
      </c>
      <c r="C10" s="37"/>
      <c r="D10" s="37">
        <f>($B$10*$S$2)*D9</f>
        <v>4800000</v>
      </c>
      <c r="E10" s="37">
        <f>($B$10*$S$2)*E9</f>
        <v>3000000</v>
      </c>
      <c r="F10" s="37">
        <f>($B$10*$S$2)*F9</f>
        <v>1800000</v>
      </c>
      <c r="G10" s="37">
        <f>($B$10*$S$2)*G9</f>
        <v>1200000</v>
      </c>
      <c r="H10" s="37">
        <f>($B$10*$S$2)*H9</f>
        <v>1200000</v>
      </c>
      <c r="I10" s="37">
        <f t="shared" ref="I10:N10" si="4">($B$10*$S$8)</f>
        <v>3300000</v>
      </c>
      <c r="J10" s="37">
        <f t="shared" si="4"/>
        <v>3300000</v>
      </c>
      <c r="K10" s="37">
        <f t="shared" si="4"/>
        <v>3300000</v>
      </c>
      <c r="L10" s="37">
        <f t="shared" si="4"/>
        <v>3300000</v>
      </c>
      <c r="M10" s="37">
        <f t="shared" si="4"/>
        <v>3300000</v>
      </c>
      <c r="N10" s="37">
        <f t="shared" si="4"/>
        <v>3300000</v>
      </c>
      <c r="O10" s="37">
        <f t="shared" ref="O10:Q10" si="5">($B$10*$S$8)</f>
        <v>3300000</v>
      </c>
      <c r="P10" s="37">
        <f t="shared" si="5"/>
        <v>3300000</v>
      </c>
      <c r="Q10" s="37">
        <f t="shared" si="5"/>
        <v>3300000</v>
      </c>
    </row>
    <row r="11" spans="1:24" ht="8.25" customHeight="1" x14ac:dyDescent="0.25">
      <c r="B11" s="7"/>
      <c r="C11" s="10"/>
      <c r="D11" s="10"/>
      <c r="E11" s="9">
        <f>$S$4</f>
        <v>0.4</v>
      </c>
      <c r="F11" s="9">
        <f>$T$4</f>
        <v>0.25</v>
      </c>
      <c r="G11" s="9">
        <f>$U$4</f>
        <v>0.15</v>
      </c>
      <c r="H11" s="9">
        <f>$V$4</f>
        <v>0.1</v>
      </c>
      <c r="I11" s="9">
        <f>$W$4</f>
        <v>0.1</v>
      </c>
      <c r="J11" s="37"/>
      <c r="K11" s="37"/>
      <c r="L11" s="37"/>
      <c r="M11" s="37"/>
      <c r="N11" s="37"/>
      <c r="O11" s="37"/>
      <c r="P11" s="37"/>
      <c r="Q11" s="37"/>
      <c r="S11" s="38"/>
      <c r="T11" s="38"/>
      <c r="U11" s="38"/>
      <c r="V11" s="38"/>
      <c r="W11" s="38"/>
    </row>
    <row r="12" spans="1:24" x14ac:dyDescent="0.25">
      <c r="A12" s="96" t="s">
        <v>54</v>
      </c>
      <c r="B12" s="7">
        <v>2200</v>
      </c>
      <c r="C12" s="37"/>
      <c r="D12" s="37"/>
      <c r="E12" s="37">
        <f>($B$12*$S$2)*E11</f>
        <v>5280000</v>
      </c>
      <c r="F12" s="37">
        <f>($B$12*$S$2)*F11</f>
        <v>3300000</v>
      </c>
      <c r="G12" s="37">
        <f>($B$12*$S$2)*G11</f>
        <v>1980000</v>
      </c>
      <c r="H12" s="37">
        <f>($B$12*$S$2)*H11</f>
        <v>1320000</v>
      </c>
      <c r="I12" s="37">
        <f>($B$12*$S$2)*I11</f>
        <v>1320000</v>
      </c>
      <c r="J12" s="37">
        <f>$B$12*$S$8</f>
        <v>3630000</v>
      </c>
      <c r="K12" s="37">
        <f>$B$12*$S$8</f>
        <v>3630000</v>
      </c>
      <c r="L12" s="37">
        <f>$B$12*$S$8</f>
        <v>3630000</v>
      </c>
      <c r="M12" s="37">
        <f>$B$12*$S$8</f>
        <v>3630000</v>
      </c>
      <c r="N12" s="37">
        <f>$B$12*$S$8</f>
        <v>3630000</v>
      </c>
      <c r="O12" s="37">
        <f t="shared" ref="O12:Q12" si="6">$B$12*$S$8</f>
        <v>3630000</v>
      </c>
      <c r="P12" s="37">
        <f t="shared" si="6"/>
        <v>3630000</v>
      </c>
      <c r="Q12" s="37">
        <f t="shared" si="6"/>
        <v>3630000</v>
      </c>
    </row>
    <row r="13" spans="1:24" ht="8.25" customHeight="1" x14ac:dyDescent="0.25">
      <c r="B13" s="7"/>
      <c r="C13" s="10"/>
      <c r="D13" s="10"/>
      <c r="E13" s="10"/>
      <c r="F13" s="10"/>
      <c r="G13" s="10"/>
      <c r="H13" s="10"/>
      <c r="I13" s="10"/>
      <c r="J13" s="37"/>
      <c r="K13" s="37"/>
      <c r="L13" s="37"/>
      <c r="M13" s="37"/>
      <c r="N13" s="37"/>
      <c r="O13" s="37"/>
      <c r="P13" s="37"/>
      <c r="Q13" s="37"/>
      <c r="S13" s="38"/>
      <c r="T13" s="38"/>
      <c r="U13" s="38"/>
      <c r="V13" s="38"/>
      <c r="W13" s="38"/>
    </row>
    <row r="14" spans="1:24" x14ac:dyDescent="0.25">
      <c r="A14" s="1" t="s">
        <v>55</v>
      </c>
      <c r="C14" s="37">
        <f>C12+C10+C8+C6</f>
        <v>11070000</v>
      </c>
      <c r="D14" s="37">
        <f t="shared" ref="D14:N14" si="7">D12+D10+D8+D6</f>
        <v>14070000</v>
      </c>
      <c r="E14" s="37">
        <f t="shared" si="7"/>
        <v>16350000</v>
      </c>
      <c r="F14" s="37">
        <f t="shared" si="7"/>
        <v>12570000</v>
      </c>
      <c r="G14" s="37">
        <f t="shared" si="7"/>
        <v>10650000</v>
      </c>
      <c r="H14" s="37">
        <f t="shared" si="7"/>
        <v>12090000</v>
      </c>
      <c r="I14" s="37">
        <f t="shared" si="7"/>
        <v>14190000</v>
      </c>
      <c r="J14" s="37">
        <f t="shared" si="7"/>
        <v>16500000</v>
      </c>
      <c r="K14" s="37">
        <f t="shared" si="7"/>
        <v>16500000</v>
      </c>
      <c r="L14" s="37">
        <f t="shared" si="7"/>
        <v>16500000</v>
      </c>
      <c r="M14" s="37">
        <f t="shared" si="7"/>
        <v>16500000</v>
      </c>
      <c r="N14" s="37">
        <f t="shared" si="7"/>
        <v>16500000</v>
      </c>
      <c r="O14" s="37">
        <f t="shared" ref="O14:Q14" si="8">O12+O10+O8+O6</f>
        <v>16500000</v>
      </c>
      <c r="P14" s="37">
        <f t="shared" si="8"/>
        <v>16500000</v>
      </c>
      <c r="Q14" s="37">
        <f t="shared" si="8"/>
        <v>16500000</v>
      </c>
      <c r="R14" s="38"/>
    </row>
    <row r="15" spans="1:24" x14ac:dyDescent="0.25">
      <c r="C15" s="183">
        <f>C8+C10+C12</f>
        <v>4800000</v>
      </c>
      <c r="D15" s="183">
        <f t="shared" ref="D15:G15" si="9">D8+D10+D12</f>
        <v>7800000</v>
      </c>
      <c r="E15" s="183">
        <f t="shared" si="9"/>
        <v>10080000</v>
      </c>
      <c r="F15" s="183">
        <f t="shared" si="9"/>
        <v>6300000</v>
      </c>
      <c r="G15" s="183">
        <f t="shared" si="9"/>
        <v>4380000</v>
      </c>
      <c r="H15" s="183">
        <f>H10+H12</f>
        <v>2520000</v>
      </c>
      <c r="I15" s="183">
        <f>+I12</f>
        <v>1320000</v>
      </c>
      <c r="J15" s="37"/>
      <c r="K15" s="37"/>
      <c r="L15" s="37"/>
      <c r="M15" s="38"/>
    </row>
    <row r="16" spans="1:24" x14ac:dyDescent="0.25"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8"/>
      <c r="S16" s="1" t="s">
        <v>56</v>
      </c>
      <c r="T16" s="1"/>
      <c r="U16" s="1"/>
      <c r="V16" s="1"/>
      <c r="W16" s="1"/>
    </row>
    <row r="17" spans="1:30" x14ac:dyDescent="0.25">
      <c r="B17" s="1" t="s">
        <v>57</v>
      </c>
      <c r="C17" s="1">
        <v>1</v>
      </c>
      <c r="D17" s="1">
        <v>2</v>
      </c>
      <c r="E17" s="1">
        <v>3</v>
      </c>
      <c r="F17" s="1">
        <v>4</v>
      </c>
      <c r="G17" s="1">
        <v>5</v>
      </c>
      <c r="H17" s="1">
        <v>6</v>
      </c>
      <c r="I17" s="1">
        <v>7</v>
      </c>
      <c r="J17" s="1">
        <v>8</v>
      </c>
      <c r="K17" s="1">
        <v>9</v>
      </c>
      <c r="L17" s="1">
        <v>10</v>
      </c>
      <c r="M17" s="1">
        <v>11</v>
      </c>
      <c r="N17" s="1">
        <v>12</v>
      </c>
      <c r="O17" s="1">
        <v>13</v>
      </c>
      <c r="P17" s="1">
        <v>14</v>
      </c>
      <c r="Q17" s="1">
        <v>15</v>
      </c>
      <c r="R17" s="38"/>
      <c r="S17" s="1" t="s">
        <v>44</v>
      </c>
      <c r="T17" s="1" t="s">
        <v>45</v>
      </c>
      <c r="U17" s="1" t="s">
        <v>46</v>
      </c>
      <c r="V17" s="1" t="s">
        <v>47</v>
      </c>
      <c r="W17" s="1" t="s">
        <v>48</v>
      </c>
    </row>
    <row r="18" spans="1:30" x14ac:dyDescent="0.25">
      <c r="A18" s="156" t="s">
        <v>58</v>
      </c>
      <c r="C18" s="117">
        <v>2019</v>
      </c>
      <c r="D18" s="117">
        <v>2020</v>
      </c>
      <c r="E18" s="117">
        <v>2021</v>
      </c>
      <c r="F18" s="117">
        <v>2022</v>
      </c>
      <c r="G18" s="117">
        <v>2023</v>
      </c>
      <c r="H18" s="117">
        <v>2024</v>
      </c>
      <c r="I18" s="117">
        <v>2025</v>
      </c>
      <c r="J18" s="117">
        <v>2026</v>
      </c>
      <c r="K18" s="117">
        <v>2027</v>
      </c>
      <c r="L18" s="117">
        <v>2028</v>
      </c>
      <c r="M18" s="117">
        <v>2029</v>
      </c>
      <c r="N18" s="117">
        <v>2030</v>
      </c>
      <c r="O18" s="117"/>
      <c r="P18" s="117"/>
      <c r="Q18" s="117"/>
      <c r="R18" s="38"/>
      <c r="S18" s="1"/>
      <c r="T18" s="1"/>
      <c r="U18" s="92">
        <v>12</v>
      </c>
      <c r="V18" s="92">
        <v>15</v>
      </c>
      <c r="W18" s="92">
        <v>20</v>
      </c>
    </row>
    <row r="19" spans="1:30" x14ac:dyDescent="0.25"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38"/>
      <c r="S19" s="1" t="s">
        <v>59</v>
      </c>
      <c r="T19" s="1"/>
      <c r="U19" s="1"/>
      <c r="V19" s="1"/>
      <c r="W19" s="1"/>
    </row>
    <row r="20" spans="1:30" x14ac:dyDescent="0.25">
      <c r="A20" s="1" t="str">
        <f>A6</f>
        <v>Existent Plantation</v>
      </c>
      <c r="B20" s="1" t="s">
        <v>60</v>
      </c>
      <c r="C20" s="13">
        <f>64000/$B$6</f>
        <v>16.842105263157894</v>
      </c>
      <c r="D20" s="13">
        <f>64000/$B$6</f>
        <v>16.842105263157894</v>
      </c>
      <c r="E20" s="13">
        <f>D20*1.15</f>
        <v>19.368421052631575</v>
      </c>
      <c r="F20" s="13">
        <f>E20*1.15</f>
        <v>22.273684210526309</v>
      </c>
      <c r="G20" s="13">
        <f>F20*1.15</f>
        <v>25.614736842105252</v>
      </c>
      <c r="H20" s="13">
        <f>G20</f>
        <v>25.614736842105252</v>
      </c>
      <c r="I20" s="13">
        <f>H20</f>
        <v>25.614736842105252</v>
      </c>
      <c r="J20" s="13">
        <v>28</v>
      </c>
      <c r="K20" s="13">
        <f>J20</f>
        <v>28</v>
      </c>
      <c r="L20" s="13">
        <f>K20</f>
        <v>28</v>
      </c>
      <c r="M20" s="13">
        <v>29</v>
      </c>
      <c r="N20" s="13">
        <f t="shared" ref="N20" si="10">M20</f>
        <v>29</v>
      </c>
      <c r="O20" s="13">
        <f t="shared" ref="O20" si="11">N20</f>
        <v>29</v>
      </c>
      <c r="P20" s="13">
        <f t="shared" ref="P20" si="12">O20</f>
        <v>29</v>
      </c>
      <c r="Q20" s="13">
        <f t="shared" ref="Q20" si="13">P20</f>
        <v>29</v>
      </c>
      <c r="R20" s="38"/>
      <c r="S20" s="1" t="s">
        <v>61</v>
      </c>
      <c r="T20" s="1" t="s">
        <v>62</v>
      </c>
      <c r="U20" s="1" t="s">
        <v>63</v>
      </c>
      <c r="V20" s="1" t="s">
        <v>64</v>
      </c>
      <c r="W20" s="1" t="s">
        <v>65</v>
      </c>
    </row>
    <row r="21" spans="1:30" x14ac:dyDescent="0.25">
      <c r="A21" s="1" t="s">
        <v>66</v>
      </c>
      <c r="B21" s="1">
        <v>3800</v>
      </c>
      <c r="C21" s="17">
        <f>$B$21*C20</f>
        <v>64000</v>
      </c>
      <c r="D21" s="17">
        <f t="shared" ref="D21:L21" si="14">$B$21*D20</f>
        <v>64000</v>
      </c>
      <c r="E21" s="17">
        <f t="shared" si="14"/>
        <v>73599.999999999985</v>
      </c>
      <c r="F21" s="17">
        <f t="shared" si="14"/>
        <v>84639.999999999971</v>
      </c>
      <c r="G21" s="17">
        <f t="shared" si="14"/>
        <v>97335.999999999956</v>
      </c>
      <c r="H21" s="17">
        <f t="shared" si="14"/>
        <v>97335.999999999956</v>
      </c>
      <c r="I21" s="17">
        <f t="shared" si="14"/>
        <v>97335.999999999956</v>
      </c>
      <c r="J21" s="17">
        <f t="shared" si="14"/>
        <v>106400</v>
      </c>
      <c r="K21" s="17">
        <f t="shared" si="14"/>
        <v>106400</v>
      </c>
      <c r="L21" s="17">
        <f t="shared" si="14"/>
        <v>106400</v>
      </c>
      <c r="M21" s="17">
        <f t="shared" ref="M21:N21" si="15">$B$21*M20</f>
        <v>110200</v>
      </c>
      <c r="N21" s="17">
        <f t="shared" si="15"/>
        <v>110200</v>
      </c>
      <c r="O21" s="17">
        <f t="shared" ref="O21:Q21" si="16">$B$21*O20</f>
        <v>110200</v>
      </c>
      <c r="P21" s="17">
        <f t="shared" si="16"/>
        <v>110200</v>
      </c>
      <c r="Q21" s="17">
        <f t="shared" si="16"/>
        <v>110200</v>
      </c>
      <c r="S21" s="14">
        <v>25</v>
      </c>
      <c r="T21" s="14">
        <v>28</v>
      </c>
      <c r="U21" s="14">
        <v>30</v>
      </c>
      <c r="V21" s="14">
        <v>32</v>
      </c>
      <c r="W21" s="14">
        <v>34</v>
      </c>
    </row>
    <row r="22" spans="1:30" ht="11.1" customHeight="1" x14ac:dyDescent="0.25">
      <c r="A22" s="1" t="str">
        <f>A8</f>
        <v>New Plantation 1st Stage</v>
      </c>
      <c r="B22" s="1" t="s">
        <v>60</v>
      </c>
      <c r="C22" s="12">
        <f>S18</f>
        <v>0</v>
      </c>
      <c r="D22" s="12">
        <f>T18</f>
        <v>0</v>
      </c>
      <c r="E22" s="15">
        <f>U18</f>
        <v>12</v>
      </c>
      <c r="F22" s="15">
        <f>V18</f>
        <v>15</v>
      </c>
      <c r="G22" s="15">
        <f>W18</f>
        <v>20</v>
      </c>
      <c r="H22" s="16">
        <f>S21</f>
        <v>25</v>
      </c>
      <c r="I22" s="16">
        <f>T21</f>
        <v>28</v>
      </c>
      <c r="J22" s="16">
        <f>U21</f>
        <v>30</v>
      </c>
      <c r="K22" s="16">
        <f>V21</f>
        <v>32</v>
      </c>
      <c r="L22" s="16">
        <f>W21</f>
        <v>34</v>
      </c>
      <c r="M22" s="16">
        <v>34</v>
      </c>
      <c r="N22" s="16">
        <v>34</v>
      </c>
      <c r="O22" s="16">
        <v>35</v>
      </c>
      <c r="P22" s="16">
        <v>36</v>
      </c>
      <c r="Q22" s="16">
        <v>37</v>
      </c>
    </row>
    <row r="23" spans="1:30" x14ac:dyDescent="0.25">
      <c r="A23" s="1" t="str">
        <f>A21</f>
        <v>Production in MT</v>
      </c>
      <c r="B23" s="1">
        <v>2000</v>
      </c>
      <c r="C23" s="12">
        <v>0</v>
      </c>
      <c r="D23" s="12">
        <f t="shared" ref="D23:L23" si="17">$B$23*D22</f>
        <v>0</v>
      </c>
      <c r="E23" s="17">
        <f t="shared" si="17"/>
        <v>24000</v>
      </c>
      <c r="F23" s="17">
        <f t="shared" si="17"/>
        <v>30000</v>
      </c>
      <c r="G23" s="17">
        <f t="shared" si="17"/>
        <v>40000</v>
      </c>
      <c r="H23" s="17">
        <f t="shared" si="17"/>
        <v>50000</v>
      </c>
      <c r="I23" s="17">
        <f t="shared" si="17"/>
        <v>56000</v>
      </c>
      <c r="J23" s="17">
        <f t="shared" si="17"/>
        <v>60000</v>
      </c>
      <c r="K23" s="17">
        <f t="shared" si="17"/>
        <v>64000</v>
      </c>
      <c r="L23" s="17">
        <f t="shared" si="17"/>
        <v>68000</v>
      </c>
      <c r="M23" s="17">
        <f t="shared" ref="M23:N23" si="18">$B$23*M22</f>
        <v>68000</v>
      </c>
      <c r="N23" s="17">
        <f t="shared" si="18"/>
        <v>68000</v>
      </c>
      <c r="O23" s="17">
        <f t="shared" ref="O23:Q23" si="19">$B$23*O22</f>
        <v>70000</v>
      </c>
      <c r="P23" s="17">
        <f t="shared" si="19"/>
        <v>72000</v>
      </c>
      <c r="Q23" s="17">
        <f t="shared" si="19"/>
        <v>74000</v>
      </c>
    </row>
    <row r="24" spans="1:30" ht="11.1" customHeight="1" thickBot="1" x14ac:dyDescent="0.3">
      <c r="A24" s="1" t="str">
        <f>A10</f>
        <v>New Plantation 2nd Stage</v>
      </c>
      <c r="B24" s="1" t="s">
        <v>60</v>
      </c>
      <c r="C24" s="11"/>
      <c r="D24" s="12">
        <f>S18</f>
        <v>0</v>
      </c>
      <c r="E24" s="12">
        <f>T18</f>
        <v>0</v>
      </c>
      <c r="F24" s="15">
        <f>U18</f>
        <v>12</v>
      </c>
      <c r="G24" s="15">
        <f>V18</f>
        <v>15</v>
      </c>
      <c r="H24" s="15">
        <f>W18</f>
        <v>20</v>
      </c>
      <c r="I24" s="16">
        <f>S21</f>
        <v>25</v>
      </c>
      <c r="J24" s="16">
        <f>T21</f>
        <v>28</v>
      </c>
      <c r="K24" s="16">
        <f>U21</f>
        <v>30</v>
      </c>
      <c r="L24" s="16">
        <f>V21</f>
        <v>32</v>
      </c>
      <c r="M24" s="16">
        <v>34</v>
      </c>
      <c r="N24" s="16">
        <v>34</v>
      </c>
      <c r="O24" s="16">
        <v>35</v>
      </c>
      <c r="P24" s="16">
        <v>36</v>
      </c>
      <c r="Q24" s="16">
        <v>37</v>
      </c>
    </row>
    <row r="25" spans="1:30" ht="15.75" thickBot="1" x14ac:dyDescent="0.3">
      <c r="A25" s="1" t="s">
        <v>66</v>
      </c>
      <c r="B25" s="1">
        <v>2000</v>
      </c>
      <c r="C25" s="11"/>
      <c r="D25" s="12">
        <v>0</v>
      </c>
      <c r="E25" s="12">
        <f t="shared" ref="E25:N25" si="20">$B$25*E24</f>
        <v>0</v>
      </c>
      <c r="F25" s="17">
        <f t="shared" si="20"/>
        <v>24000</v>
      </c>
      <c r="G25" s="17">
        <f t="shared" si="20"/>
        <v>30000</v>
      </c>
      <c r="H25" s="17">
        <f t="shared" si="20"/>
        <v>40000</v>
      </c>
      <c r="I25" s="17">
        <f t="shared" si="20"/>
        <v>50000</v>
      </c>
      <c r="J25" s="17">
        <f t="shared" si="20"/>
        <v>56000</v>
      </c>
      <c r="K25" s="17">
        <f t="shared" si="20"/>
        <v>60000</v>
      </c>
      <c r="L25" s="17">
        <f t="shared" si="20"/>
        <v>64000</v>
      </c>
      <c r="M25" s="17">
        <f t="shared" si="20"/>
        <v>68000</v>
      </c>
      <c r="N25" s="17">
        <f t="shared" si="20"/>
        <v>68000</v>
      </c>
      <c r="O25" s="17">
        <f t="shared" ref="O25:Q25" si="21">$B$25*O24</f>
        <v>70000</v>
      </c>
      <c r="P25" s="17">
        <f t="shared" si="21"/>
        <v>72000</v>
      </c>
      <c r="Q25" s="17">
        <f t="shared" si="21"/>
        <v>74000</v>
      </c>
      <c r="S25" s="221" t="s">
        <v>67</v>
      </c>
      <c r="T25" s="222"/>
      <c r="U25" s="35">
        <f>AD30*'C D Extraction Mill'!A15</f>
        <v>149.06363636363636</v>
      </c>
    </row>
    <row r="26" spans="1:30" ht="11.1" customHeight="1" x14ac:dyDescent="0.25">
      <c r="A26" s="1" t="str">
        <f>A12</f>
        <v>New Plantation 3rd Stage</v>
      </c>
      <c r="B26" s="1" t="s">
        <v>60</v>
      </c>
      <c r="C26" s="19"/>
      <c r="D26" s="12"/>
      <c r="E26" s="12">
        <f>S18</f>
        <v>0</v>
      </c>
      <c r="F26" s="12">
        <f>T18</f>
        <v>0</v>
      </c>
      <c r="G26" s="15">
        <f>U18</f>
        <v>12</v>
      </c>
      <c r="H26" s="15">
        <f>V18</f>
        <v>15</v>
      </c>
      <c r="I26" s="15">
        <f>W18</f>
        <v>20</v>
      </c>
      <c r="J26" s="16">
        <f>S21</f>
        <v>25</v>
      </c>
      <c r="K26" s="16">
        <f>T21</f>
        <v>28</v>
      </c>
      <c r="L26" s="16">
        <f>U21</f>
        <v>30</v>
      </c>
      <c r="M26" s="16">
        <v>32</v>
      </c>
      <c r="N26" s="16">
        <v>34</v>
      </c>
      <c r="O26" s="16">
        <v>35</v>
      </c>
      <c r="P26" s="16">
        <v>36</v>
      </c>
      <c r="Q26" s="16">
        <v>37</v>
      </c>
      <c r="S26" s="223" t="s">
        <v>68</v>
      </c>
      <c r="T26" s="224"/>
    </row>
    <row r="27" spans="1:30" ht="15.75" thickBot="1" x14ac:dyDescent="0.3">
      <c r="A27" s="1" t="s">
        <v>69</v>
      </c>
      <c r="B27" s="1">
        <v>2200</v>
      </c>
      <c r="C27" s="10"/>
      <c r="D27" s="10"/>
      <c r="E27" s="10"/>
      <c r="F27" s="10"/>
      <c r="G27" s="17">
        <f t="shared" ref="G27:N27" si="22">$B$27*G26</f>
        <v>26400</v>
      </c>
      <c r="H27" s="17">
        <f t="shared" si="22"/>
        <v>33000</v>
      </c>
      <c r="I27" s="17">
        <f t="shared" si="22"/>
        <v>44000</v>
      </c>
      <c r="J27" s="17">
        <f t="shared" si="22"/>
        <v>55000</v>
      </c>
      <c r="K27" s="17">
        <f t="shared" si="22"/>
        <v>61600</v>
      </c>
      <c r="L27" s="17">
        <f t="shared" si="22"/>
        <v>66000</v>
      </c>
      <c r="M27" s="17">
        <f t="shared" si="22"/>
        <v>70400</v>
      </c>
      <c r="N27" s="17">
        <f t="shared" si="22"/>
        <v>74800</v>
      </c>
      <c r="O27" s="17">
        <f t="shared" ref="O27:Q27" si="23">$B$27*O26</f>
        <v>77000</v>
      </c>
      <c r="P27" s="17">
        <f t="shared" si="23"/>
        <v>79200</v>
      </c>
      <c r="Q27" s="17">
        <f t="shared" si="23"/>
        <v>81400</v>
      </c>
      <c r="S27" s="225" t="s">
        <v>70</v>
      </c>
      <c r="T27" s="226"/>
    </row>
    <row r="28" spans="1:30" x14ac:dyDescent="0.25">
      <c r="C28" s="10"/>
      <c r="D28" s="10"/>
      <c r="E28" s="10"/>
      <c r="F28" s="10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30" x14ac:dyDescent="0.25">
      <c r="C29" s="19"/>
      <c r="D29" s="19"/>
      <c r="E29" s="19"/>
      <c r="F29" s="19"/>
      <c r="G29" s="19"/>
      <c r="H29" s="19"/>
      <c r="I29" s="19"/>
      <c r="J29" s="37"/>
      <c r="K29" s="37"/>
      <c r="L29" s="37"/>
      <c r="M29" s="37"/>
      <c r="N29" s="37"/>
      <c r="O29" s="37"/>
      <c r="P29" s="37"/>
      <c r="Q29" s="37"/>
      <c r="S29" s="125">
        <v>2008</v>
      </c>
      <c r="T29" s="125">
        <v>2009</v>
      </c>
      <c r="U29" s="125">
        <v>2010</v>
      </c>
      <c r="V29" s="125">
        <v>2011</v>
      </c>
      <c r="W29" s="125">
        <v>2012</v>
      </c>
      <c r="X29" s="125">
        <v>2013</v>
      </c>
      <c r="Y29" s="125">
        <v>2014</v>
      </c>
      <c r="Z29" s="125">
        <v>2015</v>
      </c>
      <c r="AA29" s="125">
        <v>2016</v>
      </c>
      <c r="AB29" s="125">
        <v>2017</v>
      </c>
      <c r="AC29" s="125">
        <v>2018</v>
      </c>
      <c r="AD29" s="97"/>
    </row>
    <row r="30" spans="1:30" x14ac:dyDescent="0.25">
      <c r="A30" s="1" t="s">
        <v>71</v>
      </c>
      <c r="C30" s="17">
        <f>C21+C23+C25+C27</f>
        <v>64000</v>
      </c>
      <c r="D30" s="17">
        <f t="shared" ref="D30:L30" si="24">D21+D23+D25+D27</f>
        <v>64000</v>
      </c>
      <c r="E30" s="17">
        <f t="shared" si="24"/>
        <v>97599.999999999985</v>
      </c>
      <c r="F30" s="17">
        <f t="shared" si="24"/>
        <v>138639.99999999997</v>
      </c>
      <c r="G30" s="17">
        <f t="shared" si="24"/>
        <v>193735.99999999994</v>
      </c>
      <c r="H30" s="17">
        <f t="shared" si="24"/>
        <v>220335.99999999994</v>
      </c>
      <c r="I30" s="17">
        <f t="shared" si="24"/>
        <v>247335.99999999994</v>
      </c>
      <c r="J30" s="17">
        <f t="shared" si="24"/>
        <v>277400</v>
      </c>
      <c r="K30" s="17">
        <f t="shared" si="24"/>
        <v>292000</v>
      </c>
      <c r="L30" s="17">
        <f t="shared" si="24"/>
        <v>304400</v>
      </c>
      <c r="M30" s="17">
        <f t="shared" ref="M30:N30" si="25">M21+M23+M25+M27</f>
        <v>316600</v>
      </c>
      <c r="N30" s="17">
        <f t="shared" si="25"/>
        <v>321000</v>
      </c>
      <c r="O30" s="17">
        <f t="shared" ref="O30:Q30" si="26">O21+O23+O25+O27</f>
        <v>327200</v>
      </c>
      <c r="P30" s="17">
        <f t="shared" si="26"/>
        <v>333400</v>
      </c>
      <c r="Q30" s="17">
        <f t="shared" si="26"/>
        <v>339600</v>
      </c>
      <c r="S30" s="126">
        <v>555</v>
      </c>
      <c r="T30" s="126">
        <v>795</v>
      </c>
      <c r="U30" s="126">
        <v>1290</v>
      </c>
      <c r="V30" s="126">
        <v>1045</v>
      </c>
      <c r="W30" s="126">
        <v>810</v>
      </c>
      <c r="X30" s="126">
        <v>905</v>
      </c>
      <c r="Y30" s="126">
        <v>700</v>
      </c>
      <c r="Z30" s="126">
        <v>575</v>
      </c>
      <c r="AA30" s="126">
        <v>795</v>
      </c>
      <c r="AB30" s="126">
        <v>670</v>
      </c>
      <c r="AC30" s="126">
        <v>490</v>
      </c>
      <c r="AD30" s="126">
        <f>AVERAGE(S30:AC30)</f>
        <v>784.5454545454545</v>
      </c>
    </row>
    <row r="31" spans="1:30" x14ac:dyDescent="0.25">
      <c r="A31" s="1" t="s">
        <v>72</v>
      </c>
      <c r="C31" s="20">
        <f>C14/C30</f>
        <v>172.96875</v>
      </c>
      <c r="D31" s="20">
        <f t="shared" ref="D31:K31" si="27">D14/D30</f>
        <v>219.84375</v>
      </c>
      <c r="E31" s="20">
        <f t="shared" si="27"/>
        <v>167.5204918032787</v>
      </c>
      <c r="F31" s="20">
        <f t="shared" si="27"/>
        <v>90.666474321985021</v>
      </c>
      <c r="G31" s="20">
        <f t="shared" si="27"/>
        <v>54.971714085146814</v>
      </c>
      <c r="H31" s="20">
        <f t="shared" si="27"/>
        <v>54.870742865441883</v>
      </c>
      <c r="I31" s="20">
        <f t="shared" si="27"/>
        <v>57.371349095966636</v>
      </c>
      <c r="J31" s="20">
        <f t="shared" si="27"/>
        <v>59.480894015861573</v>
      </c>
      <c r="K31" s="20">
        <f t="shared" si="27"/>
        <v>56.506849315068493</v>
      </c>
      <c r="L31" s="20">
        <f>L14/L30</f>
        <v>54.204993429697765</v>
      </c>
      <c r="M31" s="20">
        <f t="shared" ref="M31:N31" si="28">M14/M30</f>
        <v>52.116234996841442</v>
      </c>
      <c r="N31" s="20">
        <f t="shared" si="28"/>
        <v>51.401869158878505</v>
      </c>
      <c r="O31" s="20">
        <f t="shared" ref="O31:Q31" si="29">O14/O30</f>
        <v>50.427872860635695</v>
      </c>
      <c r="P31" s="20">
        <f t="shared" si="29"/>
        <v>49.490101979604077</v>
      </c>
      <c r="Q31" s="20">
        <f t="shared" si="29"/>
        <v>48.586572438162541</v>
      </c>
      <c r="T31" s="38"/>
      <c r="U31" s="38"/>
    </row>
    <row r="32" spans="1:30" x14ac:dyDescent="0.25"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T32" s="38"/>
      <c r="U32" s="38"/>
    </row>
    <row r="34" spans="1:32" x14ac:dyDescent="0.25">
      <c r="B34" s="1" t="s">
        <v>41</v>
      </c>
      <c r="C34" s="1">
        <v>1</v>
      </c>
      <c r="D34" s="1">
        <v>2</v>
      </c>
      <c r="E34" s="1">
        <v>3</v>
      </c>
      <c r="F34" s="1">
        <v>4</v>
      </c>
      <c r="G34" s="1">
        <v>5</v>
      </c>
      <c r="H34" s="1">
        <v>6</v>
      </c>
      <c r="I34" s="1">
        <v>7</v>
      </c>
      <c r="J34" s="1">
        <v>8</v>
      </c>
      <c r="K34" s="1">
        <v>9</v>
      </c>
      <c r="L34" s="1">
        <v>10</v>
      </c>
      <c r="M34" s="1">
        <v>11</v>
      </c>
      <c r="N34" s="1">
        <v>12</v>
      </c>
      <c r="O34" s="1">
        <v>13</v>
      </c>
      <c r="P34" s="1">
        <v>14</v>
      </c>
      <c r="Q34" s="1">
        <v>15</v>
      </c>
      <c r="R34" s="1">
        <v>16</v>
      </c>
      <c r="S34" s="1">
        <v>17</v>
      </c>
      <c r="T34" s="1">
        <v>18</v>
      </c>
      <c r="U34" s="1">
        <v>19</v>
      </c>
      <c r="V34" s="1">
        <v>20</v>
      </c>
      <c r="W34" s="1">
        <v>21</v>
      </c>
      <c r="X34" s="1">
        <v>22</v>
      </c>
      <c r="Y34" s="1">
        <v>23</v>
      </c>
      <c r="Z34" s="1">
        <v>24</v>
      </c>
      <c r="AA34" s="1">
        <v>25</v>
      </c>
      <c r="AB34" s="1">
        <v>26</v>
      </c>
      <c r="AC34" s="1">
        <v>27</v>
      </c>
      <c r="AD34" s="1">
        <v>28</v>
      </c>
      <c r="AE34" s="1">
        <v>29</v>
      </c>
      <c r="AF34" s="1">
        <v>30</v>
      </c>
    </row>
    <row r="35" spans="1:32" x14ac:dyDescent="0.25">
      <c r="A35" s="116" t="s">
        <v>73</v>
      </c>
      <c r="C35" s="117">
        <v>2019</v>
      </c>
      <c r="D35" s="117">
        <v>2020</v>
      </c>
      <c r="E35" s="117">
        <v>2021</v>
      </c>
      <c r="F35" s="117">
        <v>2022</v>
      </c>
      <c r="G35" s="117">
        <v>2023</v>
      </c>
      <c r="H35" s="117">
        <v>2024</v>
      </c>
      <c r="I35" s="117">
        <v>2025</v>
      </c>
      <c r="J35" s="117">
        <v>2026</v>
      </c>
      <c r="K35" s="117">
        <v>2027</v>
      </c>
      <c r="L35" s="117">
        <v>2028</v>
      </c>
      <c r="M35" s="117">
        <v>2029</v>
      </c>
      <c r="N35" s="117">
        <v>2030</v>
      </c>
      <c r="O35" s="117">
        <v>2031</v>
      </c>
      <c r="P35" s="117">
        <v>2032</v>
      </c>
      <c r="Q35" s="117">
        <v>2033</v>
      </c>
      <c r="R35" s="117">
        <v>2034</v>
      </c>
      <c r="S35" s="117">
        <v>2035</v>
      </c>
      <c r="T35" s="117">
        <v>2036</v>
      </c>
      <c r="U35" s="117">
        <v>2037</v>
      </c>
      <c r="V35" s="117">
        <v>2038</v>
      </c>
      <c r="W35" s="117">
        <v>2039</v>
      </c>
      <c r="X35" s="117">
        <v>2040</v>
      </c>
      <c r="Y35" s="117">
        <v>2041</v>
      </c>
      <c r="Z35" s="117">
        <v>2042</v>
      </c>
      <c r="AA35" s="117">
        <v>2043</v>
      </c>
      <c r="AB35" s="117">
        <v>2044</v>
      </c>
      <c r="AC35" s="117">
        <v>2045</v>
      </c>
      <c r="AD35" s="117">
        <v>2046</v>
      </c>
      <c r="AE35" s="117">
        <v>2047</v>
      </c>
      <c r="AF35" s="117">
        <v>2048</v>
      </c>
    </row>
    <row r="37" spans="1:32" x14ac:dyDescent="0.25">
      <c r="A37" s="1" t="str">
        <f>A30</f>
        <v>Total Producion in MT</v>
      </c>
      <c r="C37" s="17">
        <f t="shared" ref="C37:N37" si="30">C30</f>
        <v>64000</v>
      </c>
      <c r="D37" s="17">
        <f t="shared" si="30"/>
        <v>64000</v>
      </c>
      <c r="E37" s="17">
        <f t="shared" si="30"/>
        <v>97599.999999999985</v>
      </c>
      <c r="F37" s="17">
        <f t="shared" si="30"/>
        <v>138639.99999999997</v>
      </c>
      <c r="G37" s="17">
        <f t="shared" si="30"/>
        <v>193735.99999999994</v>
      </c>
      <c r="H37" s="17">
        <f t="shared" si="30"/>
        <v>220335.99999999994</v>
      </c>
      <c r="I37" s="17">
        <f t="shared" si="30"/>
        <v>247335.99999999994</v>
      </c>
      <c r="J37" s="17">
        <f t="shared" si="30"/>
        <v>277400</v>
      </c>
      <c r="K37" s="17">
        <f t="shared" si="30"/>
        <v>292000</v>
      </c>
      <c r="L37" s="17">
        <f t="shared" si="30"/>
        <v>304400</v>
      </c>
      <c r="M37" s="17">
        <f t="shared" si="30"/>
        <v>316600</v>
      </c>
      <c r="N37" s="17">
        <f t="shared" si="30"/>
        <v>321000</v>
      </c>
      <c r="O37" s="17">
        <f>N37</f>
        <v>321000</v>
      </c>
      <c r="P37" s="17">
        <f t="shared" ref="P37:Q37" si="31">O37</f>
        <v>321000</v>
      </c>
      <c r="Q37" s="17">
        <f t="shared" si="31"/>
        <v>321000</v>
      </c>
      <c r="R37" s="17">
        <f t="shared" ref="R37:V37" si="32">Q37</f>
        <v>321000</v>
      </c>
      <c r="S37" s="17">
        <f t="shared" si="32"/>
        <v>321000</v>
      </c>
      <c r="T37" s="17">
        <f t="shared" si="32"/>
        <v>321000</v>
      </c>
      <c r="U37" s="17">
        <f t="shared" si="32"/>
        <v>321000</v>
      </c>
      <c r="V37" s="17">
        <f t="shared" si="32"/>
        <v>321000</v>
      </c>
      <c r="W37" s="17">
        <f t="shared" ref="W37:AF37" si="33">V37</f>
        <v>321000</v>
      </c>
      <c r="X37" s="17">
        <f t="shared" si="33"/>
        <v>321000</v>
      </c>
      <c r="Y37" s="17">
        <f t="shared" si="33"/>
        <v>321000</v>
      </c>
      <c r="Z37" s="17">
        <f t="shared" si="33"/>
        <v>321000</v>
      </c>
      <c r="AA37" s="17">
        <f t="shared" si="33"/>
        <v>321000</v>
      </c>
      <c r="AB37" s="17">
        <f t="shared" si="33"/>
        <v>321000</v>
      </c>
      <c r="AC37" s="17">
        <f t="shared" si="33"/>
        <v>321000</v>
      </c>
      <c r="AD37" s="17">
        <f t="shared" si="33"/>
        <v>321000</v>
      </c>
      <c r="AE37" s="17">
        <f t="shared" si="33"/>
        <v>321000</v>
      </c>
      <c r="AF37" s="17">
        <f t="shared" si="33"/>
        <v>321000</v>
      </c>
    </row>
    <row r="38" spans="1:32" x14ac:dyDescent="0.25">
      <c r="A38" s="1" t="s">
        <v>74</v>
      </c>
      <c r="B38" s="5">
        <f>$U$25</f>
        <v>149.06363636363636</v>
      </c>
      <c r="C38" s="37">
        <f>$B$38*C37</f>
        <v>9540072.7272727266</v>
      </c>
      <c r="D38" s="37">
        <f t="shared" ref="D38:L38" si="34">$B$38*D37</f>
        <v>9540072.7272727266</v>
      </c>
      <c r="E38" s="37">
        <f t="shared" si="34"/>
        <v>14548610.909090906</v>
      </c>
      <c r="F38" s="37">
        <f t="shared" si="34"/>
        <v>20666182.545454539</v>
      </c>
      <c r="G38" s="37">
        <f t="shared" si="34"/>
        <v>28878992.654545445</v>
      </c>
      <c r="H38" s="37">
        <f t="shared" si="34"/>
        <v>32844085.381818172</v>
      </c>
      <c r="I38" s="37">
        <f t="shared" si="34"/>
        <v>36868803.563636355</v>
      </c>
      <c r="J38" s="37">
        <f t="shared" si="34"/>
        <v>41350252.727272727</v>
      </c>
      <c r="K38" s="37">
        <f t="shared" si="34"/>
        <v>43526581.81818182</v>
      </c>
      <c r="L38" s="37">
        <f t="shared" si="34"/>
        <v>45374970.909090906</v>
      </c>
      <c r="M38" s="37">
        <f t="shared" ref="M38" si="35">$B$38*M37</f>
        <v>47193547.272727273</v>
      </c>
      <c r="N38" s="37">
        <f t="shared" ref="N38:Q38" si="36">$B$38*N37</f>
        <v>47849427.272727273</v>
      </c>
      <c r="O38" s="37">
        <f t="shared" si="36"/>
        <v>47849427.272727273</v>
      </c>
      <c r="P38" s="37">
        <f t="shared" si="36"/>
        <v>47849427.272727273</v>
      </c>
      <c r="Q38" s="37">
        <f t="shared" si="36"/>
        <v>47849427.272727273</v>
      </c>
      <c r="R38" s="37">
        <f t="shared" ref="R38:V38" si="37">$B$38*R37</f>
        <v>47849427.272727273</v>
      </c>
      <c r="S38" s="37">
        <f t="shared" si="37"/>
        <v>47849427.272727273</v>
      </c>
      <c r="T38" s="37">
        <f t="shared" si="37"/>
        <v>47849427.272727273</v>
      </c>
      <c r="U38" s="37">
        <f t="shared" si="37"/>
        <v>47849427.272727273</v>
      </c>
      <c r="V38" s="37">
        <f t="shared" si="37"/>
        <v>47849427.272727273</v>
      </c>
      <c r="W38" s="37">
        <f t="shared" ref="W38:AF38" si="38">$B$38*W37</f>
        <v>47849427.272727273</v>
      </c>
      <c r="X38" s="37">
        <f t="shared" si="38"/>
        <v>47849427.272727273</v>
      </c>
      <c r="Y38" s="37">
        <f t="shared" si="38"/>
        <v>47849427.272727273</v>
      </c>
      <c r="Z38" s="37">
        <f t="shared" si="38"/>
        <v>47849427.272727273</v>
      </c>
      <c r="AA38" s="37">
        <f t="shared" si="38"/>
        <v>47849427.272727273</v>
      </c>
      <c r="AB38" s="37">
        <f t="shared" si="38"/>
        <v>47849427.272727273</v>
      </c>
      <c r="AC38" s="37">
        <f t="shared" si="38"/>
        <v>47849427.272727273</v>
      </c>
      <c r="AD38" s="37">
        <f t="shared" si="38"/>
        <v>47849427.272727273</v>
      </c>
      <c r="AE38" s="37">
        <f t="shared" si="38"/>
        <v>47849427.272727273</v>
      </c>
      <c r="AF38" s="37">
        <f t="shared" si="38"/>
        <v>47849427.272727273</v>
      </c>
    </row>
    <row r="39" spans="1:32" x14ac:dyDescent="0.25">
      <c r="A39" s="1" t="s">
        <v>75</v>
      </c>
      <c r="C39" s="64">
        <v>6000000</v>
      </c>
      <c r="D39" s="64">
        <v>6000000</v>
      </c>
      <c r="E39" s="62"/>
      <c r="F39" s="62"/>
      <c r="G39" s="62"/>
      <c r="H39" s="62"/>
      <c r="I39" s="62"/>
      <c r="J39" s="62"/>
      <c r="K39" s="62"/>
      <c r="L39" s="62"/>
      <c r="N39" s="38"/>
    </row>
    <row r="40" spans="1:32" x14ac:dyDescent="0.25">
      <c r="A40" s="1" t="s">
        <v>76</v>
      </c>
      <c r="B40" s="153">
        <v>7</v>
      </c>
      <c r="C40" s="64">
        <f>$B$40*C37</f>
        <v>448000</v>
      </c>
      <c r="D40" s="64">
        <f t="shared" ref="D40:Q40" si="39">$B$40*D37</f>
        <v>448000</v>
      </c>
      <c r="E40" s="64">
        <f t="shared" si="39"/>
        <v>683199.99999999988</v>
      </c>
      <c r="F40" s="64">
        <f t="shared" si="39"/>
        <v>970479.99999999977</v>
      </c>
      <c r="G40" s="64">
        <f t="shared" si="39"/>
        <v>1356151.9999999995</v>
      </c>
      <c r="H40" s="64">
        <f t="shared" si="39"/>
        <v>1542351.9999999995</v>
      </c>
      <c r="I40" s="64">
        <f t="shared" si="39"/>
        <v>1731351.9999999995</v>
      </c>
      <c r="J40" s="64">
        <f t="shared" si="39"/>
        <v>1941800</v>
      </c>
      <c r="K40" s="64">
        <f t="shared" si="39"/>
        <v>2044000</v>
      </c>
      <c r="L40" s="64">
        <f t="shared" si="39"/>
        <v>2130800</v>
      </c>
      <c r="M40" s="64">
        <f t="shared" si="39"/>
        <v>2216200</v>
      </c>
      <c r="N40" s="64">
        <f t="shared" si="39"/>
        <v>2247000</v>
      </c>
      <c r="O40" s="64">
        <f t="shared" si="39"/>
        <v>2247000</v>
      </c>
      <c r="P40" s="64">
        <f t="shared" si="39"/>
        <v>2247000</v>
      </c>
      <c r="Q40" s="64">
        <f t="shared" si="39"/>
        <v>2247000</v>
      </c>
      <c r="R40" s="64">
        <f t="shared" ref="R40:V40" si="40">$B$40*R37</f>
        <v>2247000</v>
      </c>
      <c r="S40" s="64">
        <f t="shared" si="40"/>
        <v>2247000</v>
      </c>
      <c r="T40" s="64">
        <f t="shared" si="40"/>
        <v>2247000</v>
      </c>
      <c r="U40" s="64">
        <f t="shared" si="40"/>
        <v>2247000</v>
      </c>
      <c r="V40" s="64">
        <f t="shared" si="40"/>
        <v>2247000</v>
      </c>
      <c r="W40" s="64">
        <f t="shared" ref="W40:AF40" si="41">$B$40*W37</f>
        <v>2247000</v>
      </c>
      <c r="X40" s="64">
        <f t="shared" si="41"/>
        <v>2247000</v>
      </c>
      <c r="Y40" s="64">
        <f t="shared" si="41"/>
        <v>2247000</v>
      </c>
      <c r="Z40" s="64">
        <f t="shared" si="41"/>
        <v>2247000</v>
      </c>
      <c r="AA40" s="64">
        <f t="shared" si="41"/>
        <v>2247000</v>
      </c>
      <c r="AB40" s="64">
        <f t="shared" si="41"/>
        <v>2247000</v>
      </c>
      <c r="AC40" s="64">
        <f t="shared" si="41"/>
        <v>2247000</v>
      </c>
      <c r="AD40" s="64">
        <f t="shared" si="41"/>
        <v>2247000</v>
      </c>
      <c r="AE40" s="64">
        <f t="shared" si="41"/>
        <v>2247000</v>
      </c>
      <c r="AF40" s="64">
        <f t="shared" si="41"/>
        <v>2247000</v>
      </c>
    </row>
    <row r="41" spans="1:32" x14ac:dyDescent="0.25">
      <c r="C41" s="95">
        <f t="shared" ref="C41:P41" si="42">C39+C38+C40</f>
        <v>15988072.727272727</v>
      </c>
      <c r="D41" s="95">
        <f t="shared" si="42"/>
        <v>15988072.727272727</v>
      </c>
      <c r="E41" s="95">
        <f t="shared" si="42"/>
        <v>15231810.909090906</v>
      </c>
      <c r="F41" s="95">
        <f t="shared" si="42"/>
        <v>21636662.545454539</v>
      </c>
      <c r="G41" s="95">
        <f t="shared" si="42"/>
        <v>30235144.654545445</v>
      </c>
      <c r="H41" s="95">
        <f t="shared" si="42"/>
        <v>34386437.381818168</v>
      </c>
      <c r="I41" s="95">
        <f t="shared" si="42"/>
        <v>38600155.563636355</v>
      </c>
      <c r="J41" s="95">
        <f t="shared" si="42"/>
        <v>43292052.727272727</v>
      </c>
      <c r="K41" s="95">
        <f t="shared" si="42"/>
        <v>45570581.81818182</v>
      </c>
      <c r="L41" s="95">
        <f t="shared" si="42"/>
        <v>47505770.909090906</v>
      </c>
      <c r="M41" s="95">
        <f t="shared" si="42"/>
        <v>49409747.272727273</v>
      </c>
      <c r="N41" s="95">
        <f t="shared" si="42"/>
        <v>50096427.272727273</v>
      </c>
      <c r="O41" s="95">
        <f t="shared" si="42"/>
        <v>50096427.272727273</v>
      </c>
      <c r="P41" s="95">
        <f t="shared" si="42"/>
        <v>50096427.272727273</v>
      </c>
      <c r="Q41" s="95">
        <f>Q39+Q38+Q40</f>
        <v>50096427.272727273</v>
      </c>
      <c r="R41" s="95">
        <f t="shared" ref="R41:V41" si="43">R39+R38+R40</f>
        <v>50096427.272727273</v>
      </c>
      <c r="S41" s="95">
        <f t="shared" si="43"/>
        <v>50096427.272727273</v>
      </c>
      <c r="T41" s="95">
        <f t="shared" si="43"/>
        <v>50096427.272727273</v>
      </c>
      <c r="U41" s="95">
        <f t="shared" si="43"/>
        <v>50096427.272727273</v>
      </c>
      <c r="V41" s="95">
        <f t="shared" si="43"/>
        <v>50096427.272727273</v>
      </c>
      <c r="W41" s="95">
        <f t="shared" ref="W41" si="44">W39+W38+W40</f>
        <v>50096427.272727273</v>
      </c>
      <c r="X41" s="95">
        <f t="shared" ref="X41" si="45">X39+X38+X40</f>
        <v>50096427.272727273</v>
      </c>
      <c r="Y41" s="95">
        <f t="shared" ref="Y41" si="46">Y39+Y38+Y40</f>
        <v>50096427.272727273</v>
      </c>
      <c r="Z41" s="95">
        <f t="shared" ref="Z41" si="47">Z39+Z38+Z40</f>
        <v>50096427.272727273</v>
      </c>
      <c r="AA41" s="95">
        <f t="shared" ref="AA41" si="48">AA39+AA38+AA40</f>
        <v>50096427.272727273</v>
      </c>
      <c r="AB41" s="95">
        <f t="shared" ref="AB41" si="49">AB39+AB38+AB40</f>
        <v>50096427.272727273</v>
      </c>
      <c r="AC41" s="95">
        <f t="shared" ref="AC41" si="50">AC39+AC38+AC40</f>
        <v>50096427.272727273</v>
      </c>
      <c r="AD41" s="95">
        <f t="shared" ref="AD41" si="51">AD39+AD38+AD40</f>
        <v>50096427.272727273</v>
      </c>
      <c r="AE41" s="95">
        <f t="shared" ref="AE41" si="52">AE39+AE38+AE40</f>
        <v>50096427.272727273</v>
      </c>
      <c r="AF41" s="95">
        <f t="shared" ref="AF41" si="53">AF39+AF38+AF40</f>
        <v>50096427.272727273</v>
      </c>
    </row>
    <row r="42" spans="1:32" x14ac:dyDescent="0.25">
      <c r="N42" s="38"/>
    </row>
    <row r="43" spans="1:32" x14ac:dyDescent="0.25">
      <c r="A43" s="75" t="s">
        <v>77</v>
      </c>
      <c r="B43" s="76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</row>
    <row r="44" spans="1:32" x14ac:dyDescent="0.25">
      <c r="A44" s="211" t="s">
        <v>78</v>
      </c>
      <c r="B44" s="63">
        <f>Investment!$F$7+Investment!$F$10</f>
        <v>82200000</v>
      </c>
      <c r="C44" s="64">
        <f>$B$44*$B$45</f>
        <v>3945600</v>
      </c>
      <c r="D44" s="64">
        <f t="shared" ref="D44:L44" si="54">$B$44*$B$45</f>
        <v>3945600</v>
      </c>
      <c r="E44" s="64">
        <f t="shared" si="54"/>
        <v>3945600</v>
      </c>
      <c r="F44" s="64">
        <f t="shared" si="54"/>
        <v>3945600</v>
      </c>
      <c r="G44" s="64">
        <f t="shared" si="54"/>
        <v>3945600</v>
      </c>
      <c r="H44" s="64">
        <f t="shared" si="54"/>
        <v>3945600</v>
      </c>
      <c r="I44" s="64">
        <f t="shared" si="54"/>
        <v>3945600</v>
      </c>
      <c r="J44" s="64">
        <f t="shared" si="54"/>
        <v>3945600</v>
      </c>
      <c r="K44" s="64">
        <f t="shared" si="54"/>
        <v>3945600</v>
      </c>
      <c r="L44" s="64">
        <f t="shared" si="54"/>
        <v>3945600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</row>
    <row r="45" spans="1:32" x14ac:dyDescent="0.25">
      <c r="A45" s="211"/>
      <c r="B45" s="66">
        <v>4.8000000000000001E-2</v>
      </c>
      <c r="C45" s="40"/>
      <c r="D45" s="40"/>
      <c r="E45" s="40"/>
      <c r="F45" s="40"/>
      <c r="G45" s="40"/>
      <c r="H45" s="40"/>
      <c r="I45" s="40"/>
      <c r="J45" s="40"/>
      <c r="K45" s="40"/>
      <c r="L45" s="40">
        <f>B44</f>
        <v>82200000</v>
      </c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</row>
    <row r="46" spans="1:32" x14ac:dyDescent="0.25">
      <c r="A46" s="211"/>
      <c r="B46" s="61"/>
      <c r="C46" s="64">
        <f>C45+C44</f>
        <v>3945600</v>
      </c>
      <c r="D46" s="64">
        <f t="shared" ref="D46:L46" si="55">D45+D44</f>
        <v>3945600</v>
      </c>
      <c r="E46" s="64">
        <f t="shared" si="55"/>
        <v>3945600</v>
      </c>
      <c r="F46" s="64">
        <f t="shared" si="55"/>
        <v>3945600</v>
      </c>
      <c r="G46" s="64">
        <f t="shared" si="55"/>
        <v>3945600</v>
      </c>
      <c r="H46" s="64">
        <f t="shared" si="55"/>
        <v>3945600</v>
      </c>
      <c r="I46" s="64">
        <f t="shared" si="55"/>
        <v>3945600</v>
      </c>
      <c r="J46" s="64">
        <f t="shared" si="55"/>
        <v>3945600</v>
      </c>
      <c r="K46" s="64">
        <f t="shared" si="55"/>
        <v>3945600</v>
      </c>
      <c r="L46" s="95">
        <f t="shared" si="55"/>
        <v>86145600</v>
      </c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</row>
    <row r="47" spans="1:32" x14ac:dyDescent="0.25">
      <c r="A47" s="169" t="str">
        <f>A14</f>
        <v>Total Costs &amp; Expensses</v>
      </c>
      <c r="B47" s="61"/>
      <c r="C47" s="63">
        <f t="shared" ref="C47:L47" si="56">C14</f>
        <v>11070000</v>
      </c>
      <c r="D47" s="63">
        <f t="shared" si="56"/>
        <v>14070000</v>
      </c>
      <c r="E47" s="63">
        <f t="shared" si="56"/>
        <v>16350000</v>
      </c>
      <c r="F47" s="63">
        <f t="shared" si="56"/>
        <v>12570000</v>
      </c>
      <c r="G47" s="63">
        <f t="shared" si="56"/>
        <v>10650000</v>
      </c>
      <c r="H47" s="63">
        <f t="shared" si="56"/>
        <v>12090000</v>
      </c>
      <c r="I47" s="63">
        <f t="shared" si="56"/>
        <v>14190000</v>
      </c>
      <c r="J47" s="63">
        <f t="shared" si="56"/>
        <v>16500000</v>
      </c>
      <c r="K47" s="63">
        <f t="shared" si="56"/>
        <v>16500000</v>
      </c>
      <c r="L47" s="63">
        <f t="shared" si="56"/>
        <v>16500000</v>
      </c>
      <c r="M47" s="63">
        <f>L47</f>
        <v>16500000</v>
      </c>
      <c r="N47" s="63">
        <f t="shared" ref="N47:Q47" si="57">M47</f>
        <v>16500000</v>
      </c>
      <c r="O47" s="63">
        <f>N47</f>
        <v>16500000</v>
      </c>
      <c r="P47" s="63">
        <f t="shared" si="57"/>
        <v>16500000</v>
      </c>
      <c r="Q47" s="63">
        <f t="shared" si="57"/>
        <v>16500000</v>
      </c>
      <c r="R47" s="63">
        <f t="shared" ref="R47:V47" si="58">Q47</f>
        <v>16500000</v>
      </c>
      <c r="S47" s="63">
        <f t="shared" si="58"/>
        <v>16500000</v>
      </c>
      <c r="T47" s="63">
        <f t="shared" si="58"/>
        <v>16500000</v>
      </c>
      <c r="U47" s="63">
        <f t="shared" si="58"/>
        <v>16500000</v>
      </c>
      <c r="V47" s="63">
        <f t="shared" si="58"/>
        <v>16500000</v>
      </c>
      <c r="W47" s="63">
        <f t="shared" ref="W47:AF47" si="59">V47</f>
        <v>16500000</v>
      </c>
      <c r="X47" s="63">
        <f t="shared" si="59"/>
        <v>16500000</v>
      </c>
      <c r="Y47" s="63">
        <f t="shared" si="59"/>
        <v>16500000</v>
      </c>
      <c r="Z47" s="63">
        <f t="shared" si="59"/>
        <v>16500000</v>
      </c>
      <c r="AA47" s="63">
        <f t="shared" si="59"/>
        <v>16500000</v>
      </c>
      <c r="AB47" s="63">
        <f t="shared" si="59"/>
        <v>16500000</v>
      </c>
      <c r="AC47" s="63">
        <f t="shared" si="59"/>
        <v>16500000</v>
      </c>
      <c r="AD47" s="63">
        <f t="shared" si="59"/>
        <v>16500000</v>
      </c>
      <c r="AE47" s="63">
        <f t="shared" si="59"/>
        <v>16500000</v>
      </c>
      <c r="AF47" s="63">
        <f t="shared" si="59"/>
        <v>16500000</v>
      </c>
    </row>
    <row r="48" spans="1:32" x14ac:dyDescent="0.25">
      <c r="A48" s="169" t="s">
        <v>79</v>
      </c>
      <c r="B48" s="61"/>
      <c r="C48" s="64">
        <f>C41</f>
        <v>15988072.727272727</v>
      </c>
      <c r="D48" s="64">
        <f t="shared" ref="D48:L48" si="60">D41</f>
        <v>15988072.727272727</v>
      </c>
      <c r="E48" s="64">
        <f t="shared" si="60"/>
        <v>15231810.909090906</v>
      </c>
      <c r="F48" s="64">
        <f t="shared" si="60"/>
        <v>21636662.545454539</v>
      </c>
      <c r="G48" s="64">
        <f t="shared" si="60"/>
        <v>30235144.654545445</v>
      </c>
      <c r="H48" s="64">
        <f t="shared" si="60"/>
        <v>34386437.381818168</v>
      </c>
      <c r="I48" s="64">
        <f t="shared" si="60"/>
        <v>38600155.563636355</v>
      </c>
      <c r="J48" s="64">
        <f t="shared" si="60"/>
        <v>43292052.727272727</v>
      </c>
      <c r="K48" s="64">
        <f t="shared" si="60"/>
        <v>45570581.81818182</v>
      </c>
      <c r="L48" s="64">
        <f t="shared" si="60"/>
        <v>47505770.909090906</v>
      </c>
      <c r="M48" s="64">
        <f t="shared" ref="M48:Q48" si="61">M41</f>
        <v>49409747.272727273</v>
      </c>
      <c r="N48" s="64">
        <f t="shared" si="61"/>
        <v>50096427.272727273</v>
      </c>
      <c r="O48" s="64">
        <f t="shared" si="61"/>
        <v>50096427.272727273</v>
      </c>
      <c r="P48" s="64">
        <f t="shared" si="61"/>
        <v>50096427.272727273</v>
      </c>
      <c r="Q48" s="64">
        <f t="shared" si="61"/>
        <v>50096427.272727273</v>
      </c>
      <c r="R48" s="64">
        <f t="shared" ref="R48:V48" si="62">R41</f>
        <v>50096427.272727273</v>
      </c>
      <c r="S48" s="64">
        <f t="shared" si="62"/>
        <v>50096427.272727273</v>
      </c>
      <c r="T48" s="64">
        <f t="shared" si="62"/>
        <v>50096427.272727273</v>
      </c>
      <c r="U48" s="64">
        <f t="shared" si="62"/>
        <v>50096427.272727273</v>
      </c>
      <c r="V48" s="64">
        <f t="shared" si="62"/>
        <v>50096427.272727273</v>
      </c>
      <c r="W48" s="64">
        <f t="shared" ref="W48:AF48" si="63">W41</f>
        <v>50096427.272727273</v>
      </c>
      <c r="X48" s="64">
        <f t="shared" si="63"/>
        <v>50096427.272727273</v>
      </c>
      <c r="Y48" s="64">
        <f t="shared" si="63"/>
        <v>50096427.272727273</v>
      </c>
      <c r="Z48" s="64">
        <f t="shared" si="63"/>
        <v>50096427.272727273</v>
      </c>
      <c r="AA48" s="64">
        <f t="shared" si="63"/>
        <v>50096427.272727273</v>
      </c>
      <c r="AB48" s="64">
        <f t="shared" si="63"/>
        <v>50096427.272727273</v>
      </c>
      <c r="AC48" s="64">
        <f t="shared" si="63"/>
        <v>50096427.272727273</v>
      </c>
      <c r="AD48" s="64">
        <f t="shared" si="63"/>
        <v>50096427.272727273</v>
      </c>
      <c r="AE48" s="64">
        <f t="shared" si="63"/>
        <v>50096427.272727273</v>
      </c>
      <c r="AF48" s="64">
        <f t="shared" si="63"/>
        <v>50096427.272727273</v>
      </c>
    </row>
    <row r="49" spans="1:32" x14ac:dyDescent="0.25">
      <c r="A49" s="169"/>
      <c r="B49" s="61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</row>
    <row r="50" spans="1:32" x14ac:dyDescent="0.25">
      <c r="A50" s="169" t="s">
        <v>77</v>
      </c>
      <c r="B50" s="180">
        <f>-B44</f>
        <v>-82200000</v>
      </c>
      <c r="C50" s="64">
        <f>C48-C47-C46</f>
        <v>972472.7272727266</v>
      </c>
      <c r="D50" s="64">
        <f t="shared" ref="D50:L50" si="64">D48-D47-D46</f>
        <v>-2027527.2727272734</v>
      </c>
      <c r="E50" s="64">
        <f t="shared" si="64"/>
        <v>-5063789.0909090936</v>
      </c>
      <c r="F50" s="64">
        <f t="shared" si="64"/>
        <v>5121062.5454545394</v>
      </c>
      <c r="G50" s="64">
        <f t="shared" si="64"/>
        <v>15639544.654545445</v>
      </c>
      <c r="H50" s="64">
        <f t="shared" si="64"/>
        <v>18350837.381818168</v>
      </c>
      <c r="I50" s="64">
        <f t="shared" si="64"/>
        <v>20464555.563636355</v>
      </c>
      <c r="J50" s="64">
        <f t="shared" si="64"/>
        <v>22846452.727272727</v>
      </c>
      <c r="K50" s="64">
        <f t="shared" si="64"/>
        <v>25124981.81818182</v>
      </c>
      <c r="L50" s="64">
        <f t="shared" si="64"/>
        <v>-55139829.090909094</v>
      </c>
      <c r="M50" s="64">
        <f t="shared" ref="M50:Q50" si="65">M48-M47-M46</f>
        <v>32909747.272727273</v>
      </c>
      <c r="N50" s="64">
        <f t="shared" si="65"/>
        <v>33596427.272727273</v>
      </c>
      <c r="O50" s="64">
        <f t="shared" si="65"/>
        <v>33596427.272727273</v>
      </c>
      <c r="P50" s="64">
        <f t="shared" si="65"/>
        <v>33596427.272727273</v>
      </c>
      <c r="Q50" s="64">
        <f t="shared" si="65"/>
        <v>33596427.272727273</v>
      </c>
      <c r="R50" s="64">
        <f t="shared" ref="R50:V50" si="66">R48-R47-R46</f>
        <v>33596427.272727273</v>
      </c>
      <c r="S50" s="64">
        <f t="shared" si="66"/>
        <v>33596427.272727273</v>
      </c>
      <c r="T50" s="64">
        <f t="shared" si="66"/>
        <v>33596427.272727273</v>
      </c>
      <c r="U50" s="64">
        <f t="shared" si="66"/>
        <v>33596427.272727273</v>
      </c>
      <c r="V50" s="64">
        <f t="shared" si="66"/>
        <v>33596427.272727273</v>
      </c>
      <c r="W50" s="64">
        <f t="shared" ref="W50:AF50" si="67">W48-W47-W46</f>
        <v>33596427.272727273</v>
      </c>
      <c r="X50" s="64">
        <f t="shared" si="67"/>
        <v>33596427.272727273</v>
      </c>
      <c r="Y50" s="64">
        <f t="shared" si="67"/>
        <v>33596427.272727273</v>
      </c>
      <c r="Z50" s="64">
        <f t="shared" si="67"/>
        <v>33596427.272727273</v>
      </c>
      <c r="AA50" s="64">
        <f t="shared" si="67"/>
        <v>33596427.272727273</v>
      </c>
      <c r="AB50" s="64">
        <f t="shared" si="67"/>
        <v>33596427.272727273</v>
      </c>
      <c r="AC50" s="64">
        <f t="shared" si="67"/>
        <v>33596427.272727273</v>
      </c>
      <c r="AD50" s="64">
        <f t="shared" si="67"/>
        <v>33596427.272727273</v>
      </c>
      <c r="AE50" s="64">
        <f t="shared" si="67"/>
        <v>33596427.272727273</v>
      </c>
      <c r="AF50" s="64">
        <f t="shared" si="67"/>
        <v>33596427.272727273</v>
      </c>
    </row>
    <row r="51" spans="1:32" x14ac:dyDescent="0.25">
      <c r="A51" s="81"/>
      <c r="B51" s="80" t="s">
        <v>80</v>
      </c>
      <c r="C51" s="39"/>
      <c r="D51" s="40">
        <f>D50+C50</f>
        <v>-1055054.5454545468</v>
      </c>
      <c r="E51" s="40">
        <f t="shared" ref="E51:L51" si="68">D51+E50</f>
        <v>-6118843.6363636404</v>
      </c>
      <c r="F51" s="40">
        <f t="shared" si="68"/>
        <v>-997781.09090910107</v>
      </c>
      <c r="G51" s="40">
        <f t="shared" si="68"/>
        <v>14641763.563636344</v>
      </c>
      <c r="H51" s="40">
        <f t="shared" si="68"/>
        <v>32992600.945454512</v>
      </c>
      <c r="I51" s="40">
        <f t="shared" si="68"/>
        <v>53457156.509090871</v>
      </c>
      <c r="J51" s="40">
        <f t="shared" si="68"/>
        <v>76303609.23636359</v>
      </c>
      <c r="K51" s="40">
        <f t="shared" si="68"/>
        <v>101428591.0545454</v>
      </c>
      <c r="L51" s="64">
        <f t="shared" si="68"/>
        <v>46288761.963636309</v>
      </c>
      <c r="M51" s="64">
        <f t="shared" ref="M51" si="69">L51+M50</f>
        <v>79198509.23636359</v>
      </c>
      <c r="N51" s="64">
        <f t="shared" ref="N51" si="70">M51+N50</f>
        <v>112794936.50909087</v>
      </c>
      <c r="O51" s="64">
        <f t="shared" ref="O51" si="71">N51+O50</f>
        <v>146391363.78181815</v>
      </c>
      <c r="P51" s="64">
        <f t="shared" ref="P51" si="72">O51+P50</f>
        <v>179987791.05454543</v>
      </c>
      <c r="Q51" s="64">
        <f t="shared" ref="Q51" si="73">P51+Q50</f>
        <v>213584218.32727271</v>
      </c>
      <c r="R51" s="64">
        <f t="shared" ref="R51" si="74">Q51+R50</f>
        <v>247180645.59999999</v>
      </c>
      <c r="S51" s="64">
        <f t="shared" ref="S51" si="75">R51+S50</f>
        <v>280777072.87272727</v>
      </c>
      <c r="T51" s="64">
        <f t="shared" ref="T51" si="76">S51+T50</f>
        <v>314373500.14545453</v>
      </c>
      <c r="U51" s="64">
        <f t="shared" ref="U51" si="77">T51+U50</f>
        <v>347969927.41818178</v>
      </c>
      <c r="V51" s="64">
        <f t="shared" ref="V51" si="78">U51+V50</f>
        <v>381566354.69090903</v>
      </c>
      <c r="W51" s="40">
        <f t="shared" ref="W51" si="79">V51+W50</f>
        <v>415162781.96363628</v>
      </c>
      <c r="X51" s="40">
        <f t="shared" ref="X51" si="80">W51+X50</f>
        <v>448759209.23636353</v>
      </c>
      <c r="Y51" s="40">
        <f t="shared" ref="Y51" si="81">X51+Y50</f>
        <v>482355636.50909078</v>
      </c>
      <c r="Z51" s="40">
        <f t="shared" ref="Z51" si="82">Y51+Z50</f>
        <v>515952063.78181803</v>
      </c>
      <c r="AA51" s="40">
        <f t="shared" ref="AA51" si="83">Z51+AA50</f>
        <v>549548491.05454528</v>
      </c>
      <c r="AB51" s="40">
        <f t="shared" ref="AB51" si="84">AA51+AB50</f>
        <v>583144918.32727253</v>
      </c>
      <c r="AC51" s="40">
        <f t="shared" ref="AC51" si="85">AB51+AC50</f>
        <v>616741345.59999979</v>
      </c>
      <c r="AD51" s="40">
        <f t="shared" ref="AD51" si="86">AC51+AD50</f>
        <v>650337772.87272704</v>
      </c>
      <c r="AE51" s="40">
        <f t="shared" ref="AE51" si="87">AD51+AE50</f>
        <v>683934200.14545429</v>
      </c>
      <c r="AF51" s="40">
        <f t="shared" ref="AF51" si="88">AE51+AF50</f>
        <v>717530627.41818154</v>
      </c>
    </row>
    <row r="52" spans="1:32" ht="15.75" thickBot="1" x14ac:dyDescent="0.3"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</row>
    <row r="53" spans="1:32" x14ac:dyDescent="0.25">
      <c r="B53" s="171" t="s">
        <v>24</v>
      </c>
      <c r="C53" s="172" t="s">
        <v>81</v>
      </c>
    </row>
    <row r="54" spans="1:32" ht="15.75" thickBot="1" x14ac:dyDescent="0.3">
      <c r="B54" s="152">
        <f>IRR(B50:AF50,C54)</f>
        <v>0.14215115495695563</v>
      </c>
      <c r="C54" s="149">
        <v>9.5000000000000001E-2</v>
      </c>
      <c r="D54" s="93"/>
    </row>
  </sheetData>
  <mergeCells count="6">
    <mergeCell ref="A44:A46"/>
    <mergeCell ref="S6:U7"/>
    <mergeCell ref="S8:U8"/>
    <mergeCell ref="S25:T25"/>
    <mergeCell ref="S26:T26"/>
    <mergeCell ref="S27:T27"/>
  </mergeCells>
  <pageMargins left="0.70866141732283472" right="0.70866141732283472" top="0.74803149606299213" bottom="0.74803149606299213" header="0.31496062992125984" footer="0.31496062992125984"/>
  <pageSetup paperSize="9"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  <pageSetUpPr fitToPage="1"/>
  </sheetPr>
  <dimension ref="A1:V34"/>
  <sheetViews>
    <sheetView zoomScale="110" zoomScaleNormal="110" workbookViewId="0">
      <selection activeCell="B22" sqref="B22"/>
    </sheetView>
  </sheetViews>
  <sheetFormatPr baseColWidth="10" defaultColWidth="11.42578125" defaultRowHeight="11.1" customHeight="1" x14ac:dyDescent="0.2"/>
  <cols>
    <col min="1" max="1" width="15" style="2" bestFit="1" customWidth="1"/>
    <col min="2" max="2" width="11.7109375" style="2" bestFit="1" customWidth="1"/>
    <col min="3" max="3" width="11.7109375" style="1" bestFit="1" customWidth="1"/>
    <col min="4" max="17" width="11.42578125" style="1"/>
    <col min="18" max="18" width="4.5703125" style="2" customWidth="1"/>
    <col min="19" max="19" width="9" style="2" bestFit="1" customWidth="1"/>
    <col min="20" max="20" width="5.140625" style="2" bestFit="1" customWidth="1"/>
    <col min="21" max="21" width="11.42578125" style="2"/>
    <col min="22" max="22" width="6.28515625" style="2" customWidth="1"/>
    <col min="23" max="16384" width="11.42578125" style="2"/>
  </cols>
  <sheetData>
    <row r="1" spans="1:22" ht="11.1" customHeight="1" x14ac:dyDescent="0.2">
      <c r="A1" s="1" t="s">
        <v>7</v>
      </c>
      <c r="B1" s="1"/>
    </row>
    <row r="2" spans="1:22" ht="11.1" customHeight="1" x14ac:dyDescent="0.2">
      <c r="A2" s="1"/>
      <c r="B2" s="1" t="s">
        <v>41</v>
      </c>
      <c r="C2" s="1">
        <v>1</v>
      </c>
      <c r="D2" s="1">
        <v>2</v>
      </c>
      <c r="E2" s="1">
        <v>3</v>
      </c>
      <c r="F2" s="1">
        <v>4</v>
      </c>
      <c r="G2" s="1">
        <v>5</v>
      </c>
      <c r="H2" s="1">
        <v>6</v>
      </c>
      <c r="I2" s="1">
        <v>7</v>
      </c>
      <c r="J2" s="1">
        <v>8</v>
      </c>
      <c r="K2" s="1">
        <v>9</v>
      </c>
      <c r="L2" s="1">
        <v>10</v>
      </c>
      <c r="M2" s="1">
        <v>11</v>
      </c>
      <c r="N2" s="1">
        <v>12</v>
      </c>
      <c r="O2" s="1">
        <v>13</v>
      </c>
      <c r="P2" s="1">
        <v>14</v>
      </c>
      <c r="Q2" s="1">
        <v>15</v>
      </c>
    </row>
    <row r="3" spans="1:22" ht="11.1" customHeight="1" x14ac:dyDescent="0.2">
      <c r="A3" s="1" t="s">
        <v>82</v>
      </c>
      <c r="B3" s="1"/>
      <c r="C3" s="41">
        <v>2019</v>
      </c>
      <c r="D3" s="41">
        <v>2020</v>
      </c>
      <c r="E3" s="41">
        <v>2021</v>
      </c>
      <c r="F3" s="41">
        <v>2022</v>
      </c>
      <c r="G3" s="41">
        <v>2023</v>
      </c>
      <c r="H3" s="41">
        <v>2024</v>
      </c>
      <c r="I3" s="41">
        <v>2025</v>
      </c>
      <c r="J3" s="41">
        <v>2026</v>
      </c>
      <c r="K3" s="41">
        <v>2027</v>
      </c>
      <c r="L3" s="41">
        <v>2028</v>
      </c>
      <c r="M3" s="41">
        <v>2029</v>
      </c>
      <c r="N3" s="41">
        <v>2030</v>
      </c>
      <c r="O3" s="41">
        <v>2031</v>
      </c>
      <c r="P3" s="41">
        <v>2032</v>
      </c>
      <c r="Q3" s="41">
        <v>2033</v>
      </c>
    </row>
    <row r="4" spans="1:22" ht="11.1" customHeight="1" x14ac:dyDescent="0.2">
      <c r="A4" s="2" t="s">
        <v>83</v>
      </c>
      <c r="B4" s="1" t="s">
        <v>84</v>
      </c>
      <c r="C4" s="42">
        <f>'A B Farm'!C30</f>
        <v>64000</v>
      </c>
      <c r="D4" s="42">
        <f>'A B Farm'!D30</f>
        <v>64000</v>
      </c>
      <c r="E4" s="42">
        <f>'A B Farm'!E30</f>
        <v>97599.999999999985</v>
      </c>
      <c r="F4" s="42">
        <f>'A B Farm'!F30</f>
        <v>138639.99999999997</v>
      </c>
      <c r="G4" s="42">
        <f>'A B Farm'!G30</f>
        <v>193735.99999999994</v>
      </c>
      <c r="H4" s="42">
        <f>'A B Farm'!H30</f>
        <v>220335.99999999994</v>
      </c>
      <c r="I4" s="42">
        <f>'A B Farm'!I30</f>
        <v>247335.99999999994</v>
      </c>
      <c r="J4" s="42">
        <f>'A B Farm'!J30</f>
        <v>277400</v>
      </c>
      <c r="K4" s="42">
        <f>'A B Farm'!K30</f>
        <v>292000</v>
      </c>
      <c r="L4" s="42">
        <f>'A B Farm'!L30</f>
        <v>304400</v>
      </c>
      <c r="M4" s="42">
        <f>L4</f>
        <v>304400</v>
      </c>
      <c r="N4" s="42">
        <f t="shared" ref="N4:Q4" si="0">M4</f>
        <v>304400</v>
      </c>
      <c r="O4" s="42">
        <f t="shared" si="0"/>
        <v>304400</v>
      </c>
      <c r="P4" s="42">
        <f t="shared" si="0"/>
        <v>304400</v>
      </c>
      <c r="Q4" s="42">
        <f t="shared" si="0"/>
        <v>304400</v>
      </c>
    </row>
    <row r="5" spans="1:22" ht="11.1" customHeight="1" x14ac:dyDescent="0.2">
      <c r="B5" s="1" t="s">
        <v>85</v>
      </c>
      <c r="C5" s="42"/>
      <c r="D5" s="42"/>
      <c r="E5" s="42">
        <v>80000</v>
      </c>
      <c r="F5" s="42">
        <v>90000</v>
      </c>
      <c r="G5" s="42">
        <v>70000</v>
      </c>
      <c r="H5" s="42">
        <v>85000</v>
      </c>
      <c r="I5" s="42">
        <v>55000</v>
      </c>
      <c r="J5" s="42">
        <v>25000</v>
      </c>
      <c r="K5" s="42">
        <v>10000</v>
      </c>
      <c r="L5" s="42">
        <v>10000</v>
      </c>
      <c r="M5" s="42">
        <v>10000</v>
      </c>
      <c r="N5" s="42">
        <v>10000</v>
      </c>
      <c r="O5" s="42">
        <v>10000</v>
      </c>
      <c r="P5" s="42">
        <v>10000</v>
      </c>
      <c r="Q5" s="42">
        <v>10000</v>
      </c>
    </row>
    <row r="6" spans="1:22" ht="11.1" customHeight="1" thickBot="1" x14ac:dyDescent="0.25">
      <c r="B6" s="1"/>
    </row>
    <row r="7" spans="1:22" ht="11.1" customHeight="1" x14ac:dyDescent="0.2">
      <c r="B7" s="1" t="s">
        <v>86</v>
      </c>
      <c r="C7" s="42">
        <f>SUM(C4:C6)</f>
        <v>64000</v>
      </c>
      <c r="D7" s="42">
        <f t="shared" ref="D7:Q7" si="1">SUM(D4:D6)</f>
        <v>64000</v>
      </c>
      <c r="E7" s="42">
        <f t="shared" si="1"/>
        <v>177600</v>
      </c>
      <c r="F7" s="42">
        <f t="shared" si="1"/>
        <v>228639.99999999997</v>
      </c>
      <c r="G7" s="42">
        <f t="shared" si="1"/>
        <v>263735.99999999994</v>
      </c>
      <c r="H7" s="42">
        <f t="shared" si="1"/>
        <v>305335.99999999994</v>
      </c>
      <c r="I7" s="42">
        <f t="shared" si="1"/>
        <v>302335.99999999994</v>
      </c>
      <c r="J7" s="42">
        <f t="shared" si="1"/>
        <v>302400</v>
      </c>
      <c r="K7" s="42">
        <f t="shared" si="1"/>
        <v>302000</v>
      </c>
      <c r="L7" s="42">
        <f t="shared" si="1"/>
        <v>314400</v>
      </c>
      <c r="M7" s="42">
        <f t="shared" si="1"/>
        <v>314400</v>
      </c>
      <c r="N7" s="42">
        <f t="shared" si="1"/>
        <v>314400</v>
      </c>
      <c r="O7" s="42">
        <f t="shared" si="1"/>
        <v>314400</v>
      </c>
      <c r="P7" s="42">
        <f t="shared" si="1"/>
        <v>314400</v>
      </c>
      <c r="Q7" s="42">
        <f t="shared" si="1"/>
        <v>314400</v>
      </c>
      <c r="S7" s="139" t="s">
        <v>87</v>
      </c>
      <c r="T7" s="140">
        <f>'A B Farm'!B38</f>
        <v>149.06363636363636</v>
      </c>
      <c r="U7" s="227" t="s">
        <v>88</v>
      </c>
      <c r="V7" s="227"/>
    </row>
    <row r="8" spans="1:22" ht="11.1" customHeight="1" x14ac:dyDescent="0.2">
      <c r="S8" s="141" t="s">
        <v>89</v>
      </c>
      <c r="T8" s="142">
        <f>'A B Farm'!AD30</f>
        <v>784.5454545454545</v>
      </c>
      <c r="U8" s="227"/>
      <c r="V8" s="227"/>
    </row>
    <row r="9" spans="1:22" ht="11.1" customHeight="1" x14ac:dyDescent="0.2">
      <c r="A9" s="1"/>
      <c r="B9" s="1" t="s">
        <v>41</v>
      </c>
      <c r="C9" s="1">
        <v>1</v>
      </c>
      <c r="D9" s="1">
        <v>2</v>
      </c>
      <c r="E9" s="1">
        <v>3</v>
      </c>
      <c r="F9" s="1">
        <v>4</v>
      </c>
      <c r="G9" s="1">
        <v>5</v>
      </c>
      <c r="H9" s="1">
        <v>6</v>
      </c>
      <c r="I9" s="1">
        <v>7</v>
      </c>
      <c r="J9" s="1">
        <v>8</v>
      </c>
      <c r="K9" s="1">
        <v>9</v>
      </c>
      <c r="L9" s="1">
        <v>10</v>
      </c>
      <c r="S9" s="143"/>
      <c r="T9" s="144"/>
    </row>
    <row r="10" spans="1:22" ht="11.1" customHeight="1" thickBot="1" x14ac:dyDescent="0.25">
      <c r="A10" s="1" t="s">
        <v>90</v>
      </c>
      <c r="B10" s="1"/>
      <c r="C10" s="41">
        <v>2019</v>
      </c>
      <c r="D10" s="41">
        <v>2020</v>
      </c>
      <c r="E10" s="41">
        <v>2021</v>
      </c>
      <c r="F10" s="41">
        <v>2022</v>
      </c>
      <c r="G10" s="41">
        <v>2023</v>
      </c>
      <c r="H10" s="41">
        <v>2024</v>
      </c>
      <c r="I10" s="41">
        <v>2025</v>
      </c>
      <c r="J10" s="41">
        <v>2026</v>
      </c>
      <c r="K10" s="41">
        <v>2027</v>
      </c>
      <c r="L10" s="41">
        <v>2028</v>
      </c>
      <c r="M10" s="41"/>
      <c r="N10" s="41"/>
      <c r="O10" s="41"/>
      <c r="P10" s="41"/>
      <c r="Q10" s="41"/>
      <c r="S10" s="145" t="s">
        <v>91</v>
      </c>
      <c r="T10" s="146">
        <f>T8+190</f>
        <v>974.5454545454545</v>
      </c>
    </row>
    <row r="11" spans="1:22" ht="11.1" customHeight="1" x14ac:dyDescent="0.2">
      <c r="A11" s="3" t="s">
        <v>92</v>
      </c>
      <c r="B11" s="5">
        <f>T7</f>
        <v>149.06363636363636</v>
      </c>
      <c r="C11" s="5">
        <f>$T$7*C4</f>
        <v>9540072.7272727266</v>
      </c>
      <c r="D11" s="5">
        <f t="shared" ref="D11:L11" si="2">$T$7*D4</f>
        <v>9540072.7272727266</v>
      </c>
      <c r="E11" s="5">
        <f t="shared" si="2"/>
        <v>14548610.909090906</v>
      </c>
      <c r="F11" s="5">
        <f t="shared" si="2"/>
        <v>20666182.545454539</v>
      </c>
      <c r="G11" s="5">
        <f t="shared" si="2"/>
        <v>28878992.654545445</v>
      </c>
      <c r="H11" s="5">
        <f t="shared" si="2"/>
        <v>32844085.381818172</v>
      </c>
      <c r="I11" s="5">
        <f t="shared" si="2"/>
        <v>36868803.563636355</v>
      </c>
      <c r="J11" s="5">
        <f t="shared" si="2"/>
        <v>41350252.727272727</v>
      </c>
      <c r="K11" s="5">
        <f t="shared" si="2"/>
        <v>43526581.81818182</v>
      </c>
      <c r="L11" s="5">
        <f t="shared" si="2"/>
        <v>45374970.909090906</v>
      </c>
      <c r="M11" s="5">
        <f t="shared" ref="M11:Q11" si="3">$T$7*M4</f>
        <v>45374970.909090906</v>
      </c>
      <c r="N11" s="5">
        <f t="shared" si="3"/>
        <v>45374970.909090906</v>
      </c>
      <c r="O11" s="5">
        <f t="shared" si="3"/>
        <v>45374970.909090906</v>
      </c>
      <c r="P11" s="5">
        <f t="shared" si="3"/>
        <v>45374970.909090906</v>
      </c>
      <c r="Q11" s="5">
        <f t="shared" si="3"/>
        <v>45374970.909090906</v>
      </c>
    </row>
    <row r="12" spans="1:22" ht="11.1" customHeight="1" x14ac:dyDescent="0.2">
      <c r="A12" s="3" t="s">
        <v>93</v>
      </c>
      <c r="B12" s="5">
        <f>T7</f>
        <v>149.06363636363636</v>
      </c>
      <c r="C12" s="48">
        <f>$T$7*C5</f>
        <v>0</v>
      </c>
      <c r="D12" s="48">
        <f t="shared" ref="D12:L12" si="4">$T$7*D5</f>
        <v>0</v>
      </c>
      <c r="E12" s="48">
        <f t="shared" si="4"/>
        <v>11925090.909090908</v>
      </c>
      <c r="F12" s="48">
        <f t="shared" si="4"/>
        <v>13415727.272727273</v>
      </c>
      <c r="G12" s="48">
        <f t="shared" si="4"/>
        <v>10434454.545454545</v>
      </c>
      <c r="H12" s="48">
        <f t="shared" si="4"/>
        <v>12670409.09090909</v>
      </c>
      <c r="I12" s="48">
        <f t="shared" si="4"/>
        <v>8198500</v>
      </c>
      <c r="J12" s="48">
        <f t="shared" si="4"/>
        <v>3726590.9090909092</v>
      </c>
      <c r="K12" s="48">
        <f t="shared" si="4"/>
        <v>1490636.3636363635</v>
      </c>
      <c r="L12" s="48">
        <f t="shared" si="4"/>
        <v>1490636.3636363635</v>
      </c>
      <c r="M12" s="48">
        <f t="shared" ref="M12:Q12" si="5">$T$7*M5</f>
        <v>1490636.3636363635</v>
      </c>
      <c r="N12" s="48">
        <f t="shared" si="5"/>
        <v>1490636.3636363635</v>
      </c>
      <c r="O12" s="48">
        <f t="shared" si="5"/>
        <v>1490636.3636363635</v>
      </c>
      <c r="P12" s="48">
        <f t="shared" si="5"/>
        <v>1490636.3636363635</v>
      </c>
      <c r="Q12" s="48">
        <f t="shared" si="5"/>
        <v>1490636.3636363635</v>
      </c>
    </row>
    <row r="13" spans="1:22" ht="11.1" customHeight="1" x14ac:dyDescent="0.2">
      <c r="A13" s="3" t="s">
        <v>94</v>
      </c>
      <c r="B13" s="5" t="s">
        <v>95</v>
      </c>
      <c r="C13" s="5">
        <f>C12+C11</f>
        <v>9540072.7272727266</v>
      </c>
      <c r="D13" s="5">
        <f t="shared" ref="D13:L13" si="6">D12+D11</f>
        <v>9540072.7272727266</v>
      </c>
      <c r="E13" s="5">
        <f t="shared" si="6"/>
        <v>26473701.818181813</v>
      </c>
      <c r="F13" s="5">
        <f t="shared" si="6"/>
        <v>34081909.818181813</v>
      </c>
      <c r="G13" s="5">
        <f t="shared" si="6"/>
        <v>39313447.199999988</v>
      </c>
      <c r="H13" s="5">
        <f t="shared" si="6"/>
        <v>45514494.472727261</v>
      </c>
      <c r="I13" s="5">
        <f t="shared" si="6"/>
        <v>45067303.563636355</v>
      </c>
      <c r="J13" s="5">
        <f t="shared" si="6"/>
        <v>45076843.636363633</v>
      </c>
      <c r="K13" s="5">
        <f t="shared" si="6"/>
        <v>45017218.181818187</v>
      </c>
      <c r="L13" s="5">
        <f t="shared" si="6"/>
        <v>46865607.272727273</v>
      </c>
      <c r="M13" s="5">
        <f t="shared" ref="M13:Q13" si="7">M12+M11</f>
        <v>46865607.272727273</v>
      </c>
      <c r="N13" s="5">
        <f t="shared" si="7"/>
        <v>46865607.272727273</v>
      </c>
      <c r="O13" s="5">
        <f t="shared" si="7"/>
        <v>46865607.272727273</v>
      </c>
      <c r="P13" s="5">
        <f t="shared" si="7"/>
        <v>46865607.272727273</v>
      </c>
      <c r="Q13" s="5">
        <f t="shared" si="7"/>
        <v>46865607.272727273</v>
      </c>
    </row>
    <row r="14" spans="1:22" s="55" customFormat="1" ht="24" customHeight="1" x14ac:dyDescent="0.2">
      <c r="A14" s="56" t="s">
        <v>96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</row>
    <row r="15" spans="1:22" ht="11.1" customHeight="1" x14ac:dyDescent="0.2">
      <c r="A15" s="57">
        <v>0.19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22" ht="11.1" customHeight="1" x14ac:dyDescent="0.2">
      <c r="A16" s="1" t="s">
        <v>97</v>
      </c>
      <c r="B16" s="175">
        <v>2.5000000000000001E-2</v>
      </c>
      <c r="C16" s="5">
        <f>$B$16*C22</f>
        <v>276160</v>
      </c>
      <c r="D16" s="5">
        <f t="shared" ref="D16:L16" si="8">$B$16*D22</f>
        <v>276160</v>
      </c>
      <c r="E16" s="5">
        <f t="shared" si="8"/>
        <v>766344</v>
      </c>
      <c r="F16" s="5">
        <f t="shared" si="8"/>
        <v>986581.59999999986</v>
      </c>
      <c r="G16" s="5">
        <f t="shared" si="8"/>
        <v>1138020.8399999999</v>
      </c>
      <c r="H16" s="5">
        <f t="shared" si="8"/>
        <v>1317524.8399999999</v>
      </c>
      <c r="I16" s="5">
        <f t="shared" si="8"/>
        <v>1304579.8399999999</v>
      </c>
      <c r="J16" s="5">
        <f t="shared" si="8"/>
        <v>1304856</v>
      </c>
      <c r="K16" s="5">
        <f t="shared" si="8"/>
        <v>1303130</v>
      </c>
      <c r="L16" s="5">
        <f t="shared" si="8"/>
        <v>1356636</v>
      </c>
      <c r="M16" s="5">
        <f t="shared" ref="M16:Q16" si="9">$B$16*M22</f>
        <v>1356636</v>
      </c>
      <c r="N16" s="5">
        <f t="shared" si="9"/>
        <v>1356636</v>
      </c>
      <c r="O16" s="5">
        <f t="shared" si="9"/>
        <v>1356636</v>
      </c>
      <c r="P16" s="5">
        <f t="shared" si="9"/>
        <v>1356636</v>
      </c>
      <c r="Q16" s="5">
        <f t="shared" si="9"/>
        <v>1356636</v>
      </c>
    </row>
    <row r="17" spans="1:17" ht="11.1" customHeight="1" x14ac:dyDescent="0.2">
      <c r="A17" s="38" t="s">
        <v>98</v>
      </c>
      <c r="B17" s="175">
        <v>2.5000000000000001E-2</v>
      </c>
      <c r="C17" s="5">
        <f>$B$17*C22</f>
        <v>276160</v>
      </c>
      <c r="D17" s="5">
        <f t="shared" ref="D17:L17" si="10">$B$17*D22</f>
        <v>276160</v>
      </c>
      <c r="E17" s="5">
        <f t="shared" si="10"/>
        <v>766344</v>
      </c>
      <c r="F17" s="5">
        <f t="shared" si="10"/>
        <v>986581.59999999986</v>
      </c>
      <c r="G17" s="5">
        <f t="shared" si="10"/>
        <v>1138020.8399999999</v>
      </c>
      <c r="H17" s="5">
        <f t="shared" si="10"/>
        <v>1317524.8399999999</v>
      </c>
      <c r="I17" s="5">
        <f t="shared" si="10"/>
        <v>1304579.8399999999</v>
      </c>
      <c r="J17" s="5">
        <f t="shared" si="10"/>
        <v>1304856</v>
      </c>
      <c r="K17" s="5">
        <f t="shared" si="10"/>
        <v>1303130</v>
      </c>
      <c r="L17" s="5">
        <f t="shared" si="10"/>
        <v>1356636</v>
      </c>
      <c r="M17" s="5">
        <f t="shared" ref="M17:Q17" si="11">$B$17*M22</f>
        <v>1356636</v>
      </c>
      <c r="N17" s="5">
        <f t="shared" si="11"/>
        <v>1356636</v>
      </c>
      <c r="O17" s="5">
        <f t="shared" si="11"/>
        <v>1356636</v>
      </c>
      <c r="P17" s="5">
        <f t="shared" si="11"/>
        <v>1356636</v>
      </c>
      <c r="Q17" s="5">
        <f t="shared" si="11"/>
        <v>1356636</v>
      </c>
    </row>
    <row r="18" spans="1:17" ht="11.1" customHeight="1" x14ac:dyDescent="0.2">
      <c r="B18" s="176"/>
    </row>
    <row r="19" spans="1:17" ht="11.1" customHeight="1" x14ac:dyDescent="0.2">
      <c r="A19" s="2" t="s">
        <v>99</v>
      </c>
      <c r="B19" s="176" t="s">
        <v>100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17" ht="11.1" customHeight="1" x14ac:dyDescent="0.2">
      <c r="A20" s="2" t="s">
        <v>101</v>
      </c>
      <c r="B20" s="177"/>
    </row>
    <row r="21" spans="1:17" ht="11.1" customHeight="1" x14ac:dyDescent="0.2">
      <c r="A21" s="43" t="s">
        <v>102</v>
      </c>
      <c r="B21" s="10">
        <v>0.22</v>
      </c>
      <c r="C21" s="47">
        <f t="shared" ref="C21:L21" si="12">C7*$B$21</f>
        <v>14080</v>
      </c>
      <c r="D21" s="47">
        <f t="shared" si="12"/>
        <v>14080</v>
      </c>
      <c r="E21" s="47">
        <f t="shared" si="12"/>
        <v>39072</v>
      </c>
      <c r="F21" s="47">
        <f t="shared" si="12"/>
        <v>50300.799999999996</v>
      </c>
      <c r="G21" s="47">
        <f t="shared" si="12"/>
        <v>58021.919999999991</v>
      </c>
      <c r="H21" s="47">
        <f t="shared" si="12"/>
        <v>67173.919999999984</v>
      </c>
      <c r="I21" s="47">
        <f t="shared" si="12"/>
        <v>66513.919999999984</v>
      </c>
      <c r="J21" s="47">
        <f t="shared" si="12"/>
        <v>66528</v>
      </c>
      <c r="K21" s="47">
        <f t="shared" si="12"/>
        <v>66440</v>
      </c>
      <c r="L21" s="47">
        <f t="shared" si="12"/>
        <v>69168</v>
      </c>
      <c r="M21" s="47">
        <f t="shared" ref="M21:Q21" si="13">M7*$B$21</f>
        <v>69168</v>
      </c>
      <c r="N21" s="47">
        <f t="shared" si="13"/>
        <v>69168</v>
      </c>
      <c r="O21" s="47">
        <f t="shared" si="13"/>
        <v>69168</v>
      </c>
      <c r="P21" s="47">
        <f t="shared" si="13"/>
        <v>69168</v>
      </c>
      <c r="Q21" s="47">
        <f t="shared" si="13"/>
        <v>69168</v>
      </c>
    </row>
    <row r="22" spans="1:17" ht="11.1" customHeight="1" x14ac:dyDescent="0.2">
      <c r="C22" s="5">
        <f>C21*$T$8</f>
        <v>11046400</v>
      </c>
      <c r="D22" s="5">
        <f t="shared" ref="D22:L22" si="14">D21*$T$8</f>
        <v>11046400</v>
      </c>
      <c r="E22" s="5">
        <f t="shared" si="14"/>
        <v>30653760</v>
      </c>
      <c r="F22" s="5">
        <f t="shared" si="14"/>
        <v>39463263.999999993</v>
      </c>
      <c r="G22" s="5">
        <f t="shared" si="14"/>
        <v>45520833.599999994</v>
      </c>
      <c r="H22" s="5">
        <f t="shared" si="14"/>
        <v>52700993.599999987</v>
      </c>
      <c r="I22" s="5">
        <f t="shared" si="14"/>
        <v>52183193.599999987</v>
      </c>
      <c r="J22" s="5">
        <f t="shared" si="14"/>
        <v>52194240</v>
      </c>
      <c r="K22" s="5">
        <f t="shared" si="14"/>
        <v>52125200</v>
      </c>
      <c r="L22" s="5">
        <f t="shared" si="14"/>
        <v>54265440</v>
      </c>
      <c r="M22" s="5">
        <f t="shared" ref="M22:Q22" si="15">M21*$T$8</f>
        <v>54265440</v>
      </c>
      <c r="N22" s="5">
        <f t="shared" si="15"/>
        <v>54265440</v>
      </c>
      <c r="O22" s="5">
        <f t="shared" si="15"/>
        <v>54265440</v>
      </c>
      <c r="P22" s="5">
        <f t="shared" si="15"/>
        <v>54265440</v>
      </c>
      <c r="Q22" s="5">
        <f t="shared" si="15"/>
        <v>54265440</v>
      </c>
    </row>
    <row r="23" spans="1:17" ht="11.1" customHeight="1" x14ac:dyDescent="0.2">
      <c r="C23" s="5">
        <f>C22-(C13+C16+C17)</f>
        <v>954007.2727272734</v>
      </c>
      <c r="D23" s="5">
        <f t="shared" ref="D23:L23" si="16">D22-(D13+D16+D17)</f>
        <v>954007.2727272734</v>
      </c>
      <c r="E23" s="5">
        <f t="shared" si="16"/>
        <v>2647370.1818181872</v>
      </c>
      <c r="F23" s="5">
        <f t="shared" si="16"/>
        <v>3408190.9818181768</v>
      </c>
      <c r="G23" s="5">
        <f t="shared" si="16"/>
        <v>3931344.7199999988</v>
      </c>
      <c r="H23" s="5">
        <f t="shared" si="16"/>
        <v>4551449.4472727254</v>
      </c>
      <c r="I23" s="5">
        <f t="shared" si="16"/>
        <v>4506730.3563636318</v>
      </c>
      <c r="J23" s="5">
        <f t="shared" si="16"/>
        <v>4507684.363636367</v>
      </c>
      <c r="K23" s="5">
        <f t="shared" si="16"/>
        <v>4501721.8181818128</v>
      </c>
      <c r="L23" s="5">
        <f t="shared" si="16"/>
        <v>4686560.7272727266</v>
      </c>
      <c r="M23" s="5">
        <f t="shared" ref="M23:Q23" si="17">M22-(M13+M16+M17)</f>
        <v>4686560.7272727266</v>
      </c>
      <c r="N23" s="5">
        <f t="shared" si="17"/>
        <v>4686560.7272727266</v>
      </c>
      <c r="O23" s="5">
        <f t="shared" si="17"/>
        <v>4686560.7272727266</v>
      </c>
      <c r="P23" s="5">
        <f t="shared" si="17"/>
        <v>4686560.7272727266</v>
      </c>
      <c r="Q23" s="5">
        <f t="shared" si="17"/>
        <v>4686560.7272727266</v>
      </c>
    </row>
    <row r="24" spans="1:17" ht="11.1" customHeight="1" x14ac:dyDescent="0.2">
      <c r="L24" s="80"/>
      <c r="M24" s="80"/>
      <c r="N24" s="80"/>
      <c r="O24" s="80"/>
      <c r="P24" s="80"/>
      <c r="Q24" s="80"/>
    </row>
    <row r="25" spans="1:17" ht="11.1" customHeight="1" x14ac:dyDescent="0.25">
      <c r="A25" s="75" t="s">
        <v>77</v>
      </c>
      <c r="B25" s="76"/>
      <c r="C25" s="77"/>
      <c r="D25" s="77"/>
      <c r="E25" s="77"/>
      <c r="F25" s="77"/>
      <c r="G25" s="77"/>
      <c r="H25" s="77"/>
      <c r="I25" s="77"/>
      <c r="J25" s="77"/>
      <c r="K25" s="77"/>
      <c r="L25" s="62"/>
      <c r="M25" s="62"/>
      <c r="N25" s="62"/>
      <c r="O25" s="62"/>
      <c r="P25" s="62"/>
      <c r="Q25" s="62"/>
    </row>
    <row r="26" spans="1:17" ht="11.1" customHeight="1" x14ac:dyDescent="0.2">
      <c r="A26" s="211" t="s">
        <v>78</v>
      </c>
      <c r="B26" s="63">
        <f>Investment!F12+Investment!F13</f>
        <v>7800000</v>
      </c>
      <c r="C26" s="64">
        <f>$B$26*$B$27</f>
        <v>374400</v>
      </c>
      <c r="D26" s="64">
        <f t="shared" ref="D26:L26" si="18">$B$26*$B$27</f>
        <v>374400</v>
      </c>
      <c r="E26" s="64">
        <f t="shared" si="18"/>
        <v>374400</v>
      </c>
      <c r="F26" s="64">
        <f t="shared" si="18"/>
        <v>374400</v>
      </c>
      <c r="G26" s="64">
        <f t="shared" si="18"/>
        <v>374400</v>
      </c>
      <c r="H26" s="64">
        <f t="shared" si="18"/>
        <v>374400</v>
      </c>
      <c r="I26" s="64">
        <f t="shared" si="18"/>
        <v>374400</v>
      </c>
      <c r="J26" s="64">
        <f t="shared" si="18"/>
        <v>374400</v>
      </c>
      <c r="K26" s="64">
        <f t="shared" si="18"/>
        <v>374400</v>
      </c>
      <c r="L26" s="64">
        <f t="shared" si="18"/>
        <v>374400</v>
      </c>
      <c r="M26" s="64"/>
      <c r="N26" s="64"/>
      <c r="O26" s="64"/>
      <c r="P26" s="64"/>
      <c r="Q26" s="64"/>
    </row>
    <row r="27" spans="1:17" ht="11.1" customHeight="1" x14ac:dyDescent="0.25">
      <c r="A27" s="211"/>
      <c r="B27" s="66">
        <v>4.8000000000000001E-2</v>
      </c>
      <c r="C27" s="39"/>
      <c r="D27" s="39"/>
      <c r="E27" s="39"/>
      <c r="F27" s="39"/>
      <c r="G27" s="39"/>
      <c r="H27" s="39"/>
      <c r="I27" s="39"/>
      <c r="J27" s="39"/>
      <c r="K27" s="39"/>
      <c r="L27" s="40">
        <f>B26</f>
        <v>7800000</v>
      </c>
      <c r="M27" s="64"/>
      <c r="N27" s="64"/>
      <c r="O27" s="64"/>
      <c r="P27" s="64"/>
      <c r="Q27" s="64"/>
    </row>
    <row r="28" spans="1:17" ht="11.1" customHeight="1" x14ac:dyDescent="0.2">
      <c r="A28" s="211"/>
      <c r="B28" s="61"/>
      <c r="C28" s="64">
        <f>C27+C26</f>
        <v>374400</v>
      </c>
      <c r="D28" s="64">
        <f t="shared" ref="D28:L28" si="19">D27+D26</f>
        <v>374400</v>
      </c>
      <c r="E28" s="64">
        <f t="shared" si="19"/>
        <v>374400</v>
      </c>
      <c r="F28" s="64">
        <f t="shared" si="19"/>
        <v>374400</v>
      </c>
      <c r="G28" s="64">
        <f t="shared" si="19"/>
        <v>374400</v>
      </c>
      <c r="H28" s="64">
        <f t="shared" si="19"/>
        <v>374400</v>
      </c>
      <c r="I28" s="64">
        <f t="shared" si="19"/>
        <v>374400</v>
      </c>
      <c r="J28" s="64">
        <f t="shared" si="19"/>
        <v>374400</v>
      </c>
      <c r="K28" s="64">
        <f t="shared" si="19"/>
        <v>374400</v>
      </c>
      <c r="L28" s="64">
        <f t="shared" si="19"/>
        <v>8174400</v>
      </c>
      <c r="M28" s="64"/>
      <c r="N28" s="64"/>
      <c r="O28" s="64"/>
      <c r="P28" s="64"/>
      <c r="Q28" s="64"/>
    </row>
    <row r="29" spans="1:17" ht="11.1" customHeight="1" x14ac:dyDescent="0.2">
      <c r="A29" s="169"/>
      <c r="B29" s="61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</row>
    <row r="30" spans="1:17" ht="11.1" customHeight="1" x14ac:dyDescent="0.2">
      <c r="A30" s="78"/>
      <c r="B30" s="180">
        <f>-B26</f>
        <v>-7800000</v>
      </c>
      <c r="C30" s="63">
        <f t="shared" ref="C30:L30" si="20">C23-C28</f>
        <v>579607.2727272734</v>
      </c>
      <c r="D30" s="63">
        <f t="shared" si="20"/>
        <v>579607.2727272734</v>
      </c>
      <c r="E30" s="63">
        <f t="shared" si="20"/>
        <v>2272970.1818181872</v>
      </c>
      <c r="F30" s="63">
        <f t="shared" si="20"/>
        <v>3033790.9818181768</v>
      </c>
      <c r="G30" s="63">
        <f t="shared" si="20"/>
        <v>3556944.7199999988</v>
      </c>
      <c r="H30" s="63">
        <f t="shared" si="20"/>
        <v>4177049.4472727254</v>
      </c>
      <c r="I30" s="63">
        <f t="shared" si="20"/>
        <v>4132330.3563636318</v>
      </c>
      <c r="J30" s="63">
        <f t="shared" si="20"/>
        <v>4133284.363636367</v>
      </c>
      <c r="K30" s="63">
        <f t="shared" si="20"/>
        <v>4127321.8181818128</v>
      </c>
      <c r="L30" s="63">
        <f t="shared" si="20"/>
        <v>-3487839.2727272734</v>
      </c>
      <c r="M30" s="63">
        <f t="shared" ref="M30:Q30" si="21">M23-M28</f>
        <v>4686560.7272727266</v>
      </c>
      <c r="N30" s="63">
        <f t="shared" si="21"/>
        <v>4686560.7272727266</v>
      </c>
      <c r="O30" s="63">
        <f t="shared" si="21"/>
        <v>4686560.7272727266</v>
      </c>
      <c r="P30" s="63">
        <f t="shared" si="21"/>
        <v>4686560.7272727266</v>
      </c>
      <c r="Q30" s="63">
        <f t="shared" si="21"/>
        <v>4686560.7272727266</v>
      </c>
    </row>
    <row r="31" spans="1:17" ht="11.1" customHeight="1" x14ac:dyDescent="0.2">
      <c r="A31" s="79"/>
      <c r="B31" s="80" t="s">
        <v>80</v>
      </c>
      <c r="C31" s="80"/>
      <c r="D31" s="48">
        <f>C30+D30</f>
        <v>1159214.5454545468</v>
      </c>
      <c r="E31" s="48">
        <f>D31+E30</f>
        <v>3432184.727272734</v>
      </c>
      <c r="F31" s="48">
        <f t="shared" ref="F31:L31" si="22">E31+F30</f>
        <v>6465975.7090909109</v>
      </c>
      <c r="G31" s="48">
        <f t="shared" si="22"/>
        <v>10022920.42909091</v>
      </c>
      <c r="H31" s="48">
        <f t="shared" si="22"/>
        <v>14199969.876363635</v>
      </c>
      <c r="I31" s="48">
        <f t="shared" si="22"/>
        <v>18332300.232727267</v>
      </c>
      <c r="J31" s="48">
        <f t="shared" si="22"/>
        <v>22465584.596363634</v>
      </c>
      <c r="K31" s="48">
        <f t="shared" si="22"/>
        <v>26592906.414545447</v>
      </c>
      <c r="L31" s="48">
        <f t="shared" si="22"/>
        <v>23105067.141818173</v>
      </c>
      <c r="M31" s="48">
        <f t="shared" ref="M31" si="23">L31+M30</f>
        <v>27791627.8690909</v>
      </c>
      <c r="N31" s="48">
        <f t="shared" ref="N31" si="24">M31+N30</f>
        <v>32478188.596363626</v>
      </c>
      <c r="O31" s="48">
        <f t="shared" ref="O31" si="25">N31+O30</f>
        <v>37164749.323636353</v>
      </c>
      <c r="P31" s="48">
        <f t="shared" ref="P31" si="26">O31+P30</f>
        <v>41851310.05090908</v>
      </c>
      <c r="Q31" s="48">
        <f t="shared" ref="Q31" si="27">P31+Q30</f>
        <v>46537870.778181806</v>
      </c>
    </row>
    <row r="32" spans="1:17" ht="11.1" customHeight="1" thickBot="1" x14ac:dyDescent="0.25"/>
    <row r="33" spans="2:3" ht="11.1" customHeight="1" x14ac:dyDescent="0.2">
      <c r="B33" s="171" t="s">
        <v>24</v>
      </c>
      <c r="C33" s="178" t="s">
        <v>81</v>
      </c>
    </row>
    <row r="34" spans="2:3" ht="11.1" customHeight="1" thickBot="1" x14ac:dyDescent="0.25">
      <c r="B34" s="152">
        <f>IRR(B30:Q30,C34)</f>
        <v>0.27054078068660004</v>
      </c>
      <c r="C34" s="149">
        <v>9.5000000000000001E-2</v>
      </c>
    </row>
  </sheetData>
  <mergeCells count="2">
    <mergeCell ref="A26:A28"/>
    <mergeCell ref="U7:V8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  <pageSetUpPr fitToPage="1"/>
  </sheetPr>
  <dimension ref="A1:X28"/>
  <sheetViews>
    <sheetView topLeftCell="A24" workbookViewId="0">
      <selection activeCell="D24" sqref="D24"/>
    </sheetView>
  </sheetViews>
  <sheetFormatPr baseColWidth="10" defaultColWidth="11.42578125" defaultRowHeight="11.25" x14ac:dyDescent="0.2"/>
  <cols>
    <col min="1" max="1" width="19.28515625" style="2" bestFit="1" customWidth="1"/>
    <col min="2" max="2" width="12.140625" style="2" bestFit="1" customWidth="1"/>
    <col min="3" max="4" width="11.85546875" style="1" bestFit="1" customWidth="1"/>
    <col min="5" max="12" width="12.7109375" style="1" bestFit="1" customWidth="1"/>
    <col min="13" max="17" width="12.7109375" style="1" customWidth="1"/>
    <col min="18" max="18" width="8.7109375" style="2" customWidth="1"/>
    <col min="19" max="19" width="13.28515625" style="2" bestFit="1" customWidth="1"/>
    <col min="20" max="20" width="5.7109375" style="2" bestFit="1" customWidth="1"/>
    <col min="21" max="21" width="1.7109375" style="1" bestFit="1" customWidth="1"/>
    <col min="22" max="22" width="7.42578125" style="2" bestFit="1" customWidth="1"/>
    <col min="23" max="23" width="1.7109375" style="2" bestFit="1" customWidth="1"/>
    <col min="24" max="24" width="7" style="2" bestFit="1" customWidth="1"/>
    <col min="25" max="16384" width="11.42578125" style="2"/>
  </cols>
  <sheetData>
    <row r="1" spans="1:24" x14ac:dyDescent="0.2">
      <c r="A1" s="1" t="s">
        <v>103</v>
      </c>
      <c r="B1" s="1"/>
    </row>
    <row r="2" spans="1:24" x14ac:dyDescent="0.2">
      <c r="A2" s="1"/>
      <c r="B2" s="1" t="s">
        <v>41</v>
      </c>
      <c r="C2" s="1">
        <v>1</v>
      </c>
      <c r="D2" s="1">
        <v>2</v>
      </c>
      <c r="E2" s="1">
        <v>3</v>
      </c>
      <c r="F2" s="1">
        <v>4</v>
      </c>
      <c r="G2" s="1">
        <v>5</v>
      </c>
      <c r="H2" s="1">
        <v>6</v>
      </c>
      <c r="I2" s="1">
        <v>7</v>
      </c>
      <c r="J2" s="1">
        <v>8</v>
      </c>
      <c r="K2" s="1">
        <v>9</v>
      </c>
      <c r="L2" s="1">
        <v>10</v>
      </c>
      <c r="M2" s="1">
        <v>11</v>
      </c>
      <c r="N2" s="1">
        <v>12</v>
      </c>
      <c r="O2" s="1">
        <v>13</v>
      </c>
      <c r="P2" s="1">
        <v>14</v>
      </c>
      <c r="Q2" s="1">
        <v>15</v>
      </c>
    </row>
    <row r="3" spans="1:24" x14ac:dyDescent="0.2">
      <c r="A3" s="1" t="s">
        <v>82</v>
      </c>
      <c r="B3" s="1"/>
      <c r="C3" s="90">
        <v>2019</v>
      </c>
      <c r="D3" s="90">
        <v>2020</v>
      </c>
      <c r="E3" s="90">
        <v>2021</v>
      </c>
      <c r="F3" s="90">
        <v>2022</v>
      </c>
      <c r="G3" s="90">
        <v>2023</v>
      </c>
      <c r="H3" s="90">
        <v>2024</v>
      </c>
      <c r="I3" s="90">
        <v>2025</v>
      </c>
      <c r="J3" s="90">
        <v>2026</v>
      </c>
      <c r="K3" s="90">
        <v>2027</v>
      </c>
      <c r="L3" s="90">
        <v>2028</v>
      </c>
      <c r="M3" s="90">
        <v>2029</v>
      </c>
      <c r="N3" s="90">
        <v>2030</v>
      </c>
      <c r="O3" s="90">
        <v>2031</v>
      </c>
      <c r="P3" s="90">
        <v>2032</v>
      </c>
      <c r="Q3" s="90">
        <v>2033</v>
      </c>
      <c r="S3" s="2" t="s">
        <v>104</v>
      </c>
      <c r="T3" s="53">
        <v>260</v>
      </c>
      <c r="U3" s="1" t="s">
        <v>105</v>
      </c>
      <c r="V3" s="2" t="s">
        <v>106</v>
      </c>
      <c r="W3" s="2" t="s">
        <v>107</v>
      </c>
      <c r="X3" s="53">
        <f>T3+'C D Extraction Mill'!T8</f>
        <v>1044.5454545454545</v>
      </c>
    </row>
    <row r="4" spans="1:24" x14ac:dyDescent="0.2">
      <c r="B4" s="38" t="s">
        <v>108</v>
      </c>
      <c r="E4" s="47">
        <f>'C D Extraction Mill'!C21</f>
        <v>14080</v>
      </c>
      <c r="F4" s="47">
        <f>'C D Extraction Mill'!D21</f>
        <v>14080</v>
      </c>
      <c r="G4" s="47">
        <f>'C D Extraction Mill'!E21</f>
        <v>39072</v>
      </c>
      <c r="H4" s="47">
        <f>'C D Extraction Mill'!F21</f>
        <v>50300.799999999996</v>
      </c>
      <c r="I4" s="47">
        <f>'C D Extraction Mill'!G21</f>
        <v>58021.919999999991</v>
      </c>
      <c r="J4" s="47">
        <f>'C D Extraction Mill'!H21</f>
        <v>67173.919999999984</v>
      </c>
      <c r="K4" s="47">
        <f>'C D Extraction Mill'!I21</f>
        <v>66513.919999999984</v>
      </c>
      <c r="L4" s="47">
        <f>'C D Extraction Mill'!J21</f>
        <v>66528</v>
      </c>
      <c r="M4" s="47">
        <f>'C D Extraction Mill'!K21</f>
        <v>66440</v>
      </c>
      <c r="N4" s="47">
        <f>'C D Extraction Mill'!L21</f>
        <v>69168</v>
      </c>
      <c r="O4" s="47">
        <f>N4</f>
        <v>69168</v>
      </c>
      <c r="P4" s="47">
        <f t="shared" ref="P4:Q4" si="0">O4</f>
        <v>69168</v>
      </c>
      <c r="Q4" s="47">
        <f t="shared" si="0"/>
        <v>69168</v>
      </c>
      <c r="S4" s="2" t="s">
        <v>109</v>
      </c>
      <c r="T4" s="53">
        <v>80</v>
      </c>
      <c r="U4" s="1" t="s">
        <v>105</v>
      </c>
      <c r="V4" s="2" t="s">
        <v>106</v>
      </c>
      <c r="W4" s="2" t="s">
        <v>107</v>
      </c>
      <c r="X4" s="53">
        <f>T4+'C D Extraction Mill'!T8</f>
        <v>864.5454545454545</v>
      </c>
    </row>
    <row r="5" spans="1:24" x14ac:dyDescent="0.2">
      <c r="A5" s="43" t="s">
        <v>110</v>
      </c>
      <c r="B5" s="44">
        <v>5.0000000000000001E-3</v>
      </c>
      <c r="E5" s="49">
        <f>$E$4*B5</f>
        <v>70.400000000000006</v>
      </c>
      <c r="F5" s="49">
        <f>$B$5*F4</f>
        <v>70.400000000000006</v>
      </c>
      <c r="G5" s="49">
        <f t="shared" ref="G5:N5" si="1">$B$5*G4</f>
        <v>195.36</v>
      </c>
      <c r="H5" s="49">
        <f t="shared" si="1"/>
        <v>251.50399999999999</v>
      </c>
      <c r="I5" s="49">
        <f t="shared" si="1"/>
        <v>290.10959999999994</v>
      </c>
      <c r="J5" s="49">
        <f t="shared" si="1"/>
        <v>335.86959999999993</v>
      </c>
      <c r="K5" s="49">
        <f t="shared" si="1"/>
        <v>332.56959999999992</v>
      </c>
      <c r="L5" s="49">
        <f t="shared" si="1"/>
        <v>332.64</v>
      </c>
      <c r="M5" s="49">
        <f t="shared" si="1"/>
        <v>332.2</v>
      </c>
      <c r="N5" s="49">
        <f t="shared" si="1"/>
        <v>345.84000000000003</v>
      </c>
      <c r="O5" s="47">
        <f>N5</f>
        <v>345.84000000000003</v>
      </c>
      <c r="P5" s="47">
        <f>O5</f>
        <v>345.84000000000003</v>
      </c>
      <c r="Q5" s="47">
        <f>P5</f>
        <v>345.84000000000003</v>
      </c>
    </row>
    <row r="6" spans="1:24" x14ac:dyDescent="0.2">
      <c r="A6" s="43" t="s">
        <v>111</v>
      </c>
      <c r="B6" s="44">
        <v>0.03</v>
      </c>
      <c r="E6" s="49">
        <f>$E$4*B6</f>
        <v>422.4</v>
      </c>
      <c r="F6" s="49">
        <f>$B$6*F4</f>
        <v>422.4</v>
      </c>
      <c r="G6" s="49">
        <f t="shared" ref="G6:N6" si="2">$B$6*G4</f>
        <v>1172.1599999999999</v>
      </c>
      <c r="H6" s="49">
        <f t="shared" si="2"/>
        <v>1509.0239999999999</v>
      </c>
      <c r="I6" s="49">
        <f t="shared" si="2"/>
        <v>1740.6575999999998</v>
      </c>
      <c r="J6" s="49">
        <f t="shared" si="2"/>
        <v>2015.2175999999995</v>
      </c>
      <c r="K6" s="49">
        <f t="shared" si="2"/>
        <v>1995.4175999999995</v>
      </c>
      <c r="L6" s="49">
        <f t="shared" si="2"/>
        <v>1995.84</v>
      </c>
      <c r="M6" s="49">
        <f t="shared" si="2"/>
        <v>1993.1999999999998</v>
      </c>
      <c r="N6" s="49">
        <f t="shared" si="2"/>
        <v>2075.04</v>
      </c>
      <c r="O6" s="47">
        <f>N6</f>
        <v>2075.04</v>
      </c>
      <c r="P6" s="47">
        <f>O6</f>
        <v>2075.04</v>
      </c>
      <c r="Q6" s="47">
        <f>P6</f>
        <v>2075.04</v>
      </c>
    </row>
    <row r="7" spans="1:24" x14ac:dyDescent="0.2">
      <c r="A7" s="43"/>
      <c r="B7" s="44"/>
      <c r="C7" s="50">
        <f>C4-C6-C5</f>
        <v>0</v>
      </c>
      <c r="D7" s="50">
        <f t="shared" ref="D7:Q7" si="3">D4-D6-D5</f>
        <v>0</v>
      </c>
      <c r="E7" s="50">
        <f t="shared" si="3"/>
        <v>13587.2</v>
      </c>
      <c r="F7" s="50">
        <f t="shared" si="3"/>
        <v>13587.2</v>
      </c>
      <c r="G7" s="50">
        <f t="shared" si="3"/>
        <v>37704.479999999996</v>
      </c>
      <c r="H7" s="50">
        <f t="shared" si="3"/>
        <v>48540.271999999997</v>
      </c>
      <c r="I7" s="50">
        <f t="shared" si="3"/>
        <v>55991.152799999989</v>
      </c>
      <c r="J7" s="50">
        <f t="shared" si="3"/>
        <v>64822.832799999989</v>
      </c>
      <c r="K7" s="50">
        <f t="shared" si="3"/>
        <v>64185.93279999998</v>
      </c>
      <c r="L7" s="50">
        <f t="shared" si="3"/>
        <v>64199.520000000004</v>
      </c>
      <c r="M7" s="50">
        <f t="shared" si="3"/>
        <v>64114.600000000006</v>
      </c>
      <c r="N7" s="50">
        <f t="shared" si="3"/>
        <v>66747.12000000001</v>
      </c>
      <c r="O7" s="50">
        <f t="shared" si="3"/>
        <v>66747.12000000001</v>
      </c>
      <c r="P7" s="50">
        <f t="shared" si="3"/>
        <v>66747.12000000001</v>
      </c>
      <c r="Q7" s="50">
        <f t="shared" si="3"/>
        <v>66747.12000000001</v>
      </c>
    </row>
    <row r="8" spans="1:24" x14ac:dyDescent="0.2">
      <c r="A8" s="43"/>
      <c r="B8" s="44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</row>
    <row r="9" spans="1:24" x14ac:dyDescent="0.2">
      <c r="A9" s="43" t="s">
        <v>112</v>
      </c>
      <c r="B9" s="44">
        <v>0.8</v>
      </c>
      <c r="C9" s="51">
        <f>$B$9*C7</f>
        <v>0</v>
      </c>
      <c r="D9" s="51">
        <f t="shared" ref="D9:L9" si="4">$B$9*D7</f>
        <v>0</v>
      </c>
      <c r="E9" s="51">
        <f t="shared" si="4"/>
        <v>10869.760000000002</v>
      </c>
      <c r="F9" s="51">
        <f t="shared" si="4"/>
        <v>10869.760000000002</v>
      </c>
      <c r="G9" s="51">
        <f t="shared" si="4"/>
        <v>30163.583999999999</v>
      </c>
      <c r="H9" s="51">
        <f t="shared" si="4"/>
        <v>38832.217599999996</v>
      </c>
      <c r="I9" s="51">
        <f t="shared" si="4"/>
        <v>44792.922239999993</v>
      </c>
      <c r="J9" s="51">
        <f t="shared" si="4"/>
        <v>51858.266239999997</v>
      </c>
      <c r="K9" s="51">
        <f t="shared" si="4"/>
        <v>51348.746239999986</v>
      </c>
      <c r="L9" s="51">
        <f t="shared" si="4"/>
        <v>51359.616000000009</v>
      </c>
      <c r="M9" s="51">
        <f t="shared" ref="M9:Q9" si="5">$B$9*M7</f>
        <v>51291.680000000008</v>
      </c>
      <c r="N9" s="51">
        <f t="shared" si="5"/>
        <v>53397.696000000011</v>
      </c>
      <c r="O9" s="51">
        <f t="shared" si="5"/>
        <v>53397.696000000011</v>
      </c>
      <c r="P9" s="51">
        <f t="shared" si="5"/>
        <v>53397.696000000011</v>
      </c>
      <c r="Q9" s="51">
        <f t="shared" si="5"/>
        <v>53397.696000000011</v>
      </c>
    </row>
    <row r="10" spans="1:24" x14ac:dyDescent="0.2">
      <c r="A10" s="43" t="s">
        <v>113</v>
      </c>
      <c r="B10" s="44">
        <v>0.2</v>
      </c>
      <c r="C10" s="52">
        <f>$B$10*C7</f>
        <v>0</v>
      </c>
      <c r="D10" s="52">
        <f t="shared" ref="D10:L10" si="6">$B$10*D7</f>
        <v>0</v>
      </c>
      <c r="E10" s="52">
        <f t="shared" si="6"/>
        <v>2717.4400000000005</v>
      </c>
      <c r="F10" s="52">
        <f t="shared" si="6"/>
        <v>2717.4400000000005</v>
      </c>
      <c r="G10" s="52">
        <f t="shared" si="6"/>
        <v>7540.8959999999997</v>
      </c>
      <c r="H10" s="52">
        <f t="shared" si="6"/>
        <v>9708.0543999999991</v>
      </c>
      <c r="I10" s="52">
        <f t="shared" si="6"/>
        <v>11198.230559999998</v>
      </c>
      <c r="J10" s="52">
        <f t="shared" si="6"/>
        <v>12964.566559999999</v>
      </c>
      <c r="K10" s="52">
        <f t="shared" si="6"/>
        <v>12837.186559999996</v>
      </c>
      <c r="L10" s="52">
        <f t="shared" si="6"/>
        <v>12839.904000000002</v>
      </c>
      <c r="M10" s="52">
        <f t="shared" ref="M10:Q10" si="7">$B$10*M7</f>
        <v>12822.920000000002</v>
      </c>
      <c r="N10" s="52">
        <f t="shared" si="7"/>
        <v>13349.424000000003</v>
      </c>
      <c r="O10" s="52">
        <f t="shared" si="7"/>
        <v>13349.424000000003</v>
      </c>
      <c r="P10" s="52">
        <f t="shared" si="7"/>
        <v>13349.424000000003</v>
      </c>
      <c r="Q10" s="52">
        <f t="shared" si="7"/>
        <v>13349.424000000003</v>
      </c>
    </row>
    <row r="11" spans="1:24" x14ac:dyDescent="0.2">
      <c r="A11" s="43" t="s">
        <v>114</v>
      </c>
      <c r="B11" s="5">
        <f>'C D Extraction Mill'!T8</f>
        <v>784.5454545454545</v>
      </c>
      <c r="C11" s="5">
        <f>$B$11*C4</f>
        <v>0</v>
      </c>
      <c r="D11" s="5">
        <f t="shared" ref="D11:Q11" si="8">$B$11*D4</f>
        <v>0</v>
      </c>
      <c r="E11" s="5">
        <f t="shared" si="8"/>
        <v>11046400</v>
      </c>
      <c r="F11" s="5">
        <f t="shared" si="8"/>
        <v>11046400</v>
      </c>
      <c r="G11" s="5">
        <f t="shared" si="8"/>
        <v>30653760</v>
      </c>
      <c r="H11" s="5">
        <f t="shared" si="8"/>
        <v>39463263.999999993</v>
      </c>
      <c r="I11" s="5">
        <f t="shared" si="8"/>
        <v>45520833.599999994</v>
      </c>
      <c r="J11" s="5">
        <f t="shared" si="8"/>
        <v>52700993.599999987</v>
      </c>
      <c r="K11" s="5">
        <f t="shared" si="8"/>
        <v>52183193.599999987</v>
      </c>
      <c r="L11" s="5">
        <f t="shared" si="8"/>
        <v>52194240</v>
      </c>
      <c r="M11" s="5">
        <f t="shared" si="8"/>
        <v>52125200</v>
      </c>
      <c r="N11" s="5">
        <f t="shared" si="8"/>
        <v>54265440</v>
      </c>
      <c r="O11" s="5">
        <f t="shared" si="8"/>
        <v>54265440</v>
      </c>
      <c r="P11" s="5">
        <f t="shared" si="8"/>
        <v>54265440</v>
      </c>
      <c r="Q11" s="5">
        <f t="shared" si="8"/>
        <v>54265440</v>
      </c>
    </row>
    <row r="12" spans="1:24" x14ac:dyDescent="0.2">
      <c r="A12" s="2" t="s">
        <v>115</v>
      </c>
      <c r="B12" s="5">
        <v>35</v>
      </c>
      <c r="C12" s="5">
        <f>$B$12*C9</f>
        <v>0</v>
      </c>
      <c r="D12" s="5">
        <f t="shared" ref="D12:L12" si="9">$B$12*D9</f>
        <v>0</v>
      </c>
      <c r="E12" s="5">
        <f t="shared" si="9"/>
        <v>380441.60000000009</v>
      </c>
      <c r="F12" s="5">
        <f t="shared" si="9"/>
        <v>380441.60000000009</v>
      </c>
      <c r="G12" s="5">
        <f t="shared" si="9"/>
        <v>1055725.44</v>
      </c>
      <c r="H12" s="5">
        <f t="shared" si="9"/>
        <v>1359127.6159999999</v>
      </c>
      <c r="I12" s="5">
        <f t="shared" si="9"/>
        <v>1567752.2783999997</v>
      </c>
      <c r="J12" s="5">
        <f t="shared" si="9"/>
        <v>1815039.3184</v>
      </c>
      <c r="K12" s="5">
        <f t="shared" si="9"/>
        <v>1797206.1183999996</v>
      </c>
      <c r="L12" s="5">
        <f t="shared" si="9"/>
        <v>1797586.5600000003</v>
      </c>
      <c r="M12" s="5">
        <f t="shared" ref="M12:Q12" si="10">$B$12*M9</f>
        <v>1795208.8000000003</v>
      </c>
      <c r="N12" s="5">
        <f t="shared" si="10"/>
        <v>1868919.3600000003</v>
      </c>
      <c r="O12" s="5">
        <f t="shared" si="10"/>
        <v>1868919.3600000003</v>
      </c>
      <c r="P12" s="5">
        <f t="shared" si="10"/>
        <v>1868919.3600000003</v>
      </c>
      <c r="Q12" s="5">
        <f t="shared" si="10"/>
        <v>1868919.3600000003</v>
      </c>
    </row>
    <row r="14" spans="1:24" x14ac:dyDescent="0.2">
      <c r="A14" s="43" t="s">
        <v>116</v>
      </c>
      <c r="B14" s="98">
        <f>X3</f>
        <v>1044.5454545454545</v>
      </c>
      <c r="C14" s="99">
        <f>C9*$B$14</f>
        <v>0</v>
      </c>
      <c r="D14" s="99">
        <f t="shared" ref="D14:L14" si="11">D9*$B$14</f>
        <v>0</v>
      </c>
      <c r="E14" s="99">
        <f t="shared" si="11"/>
        <v>11353958.400000002</v>
      </c>
      <c r="F14" s="99">
        <f t="shared" si="11"/>
        <v>11353958.400000002</v>
      </c>
      <c r="G14" s="99">
        <f t="shared" si="11"/>
        <v>31507234.559999999</v>
      </c>
      <c r="H14" s="99">
        <f t="shared" si="11"/>
        <v>40562016.383999996</v>
      </c>
      <c r="I14" s="99">
        <f t="shared" si="11"/>
        <v>46788243.32159999</v>
      </c>
      <c r="J14" s="99">
        <f t="shared" si="11"/>
        <v>54168316.281599998</v>
      </c>
      <c r="K14" s="99">
        <f t="shared" si="11"/>
        <v>53636099.481599987</v>
      </c>
      <c r="L14" s="99">
        <f t="shared" si="11"/>
        <v>53647453.440000005</v>
      </c>
      <c r="M14" s="99">
        <f t="shared" ref="M14:Q14" si="12">M9*$B$14</f>
        <v>53576491.200000003</v>
      </c>
      <c r="N14" s="99">
        <f t="shared" si="12"/>
        <v>55776320.640000008</v>
      </c>
      <c r="O14" s="99">
        <f t="shared" si="12"/>
        <v>55776320.640000008</v>
      </c>
      <c r="P14" s="99">
        <f t="shared" si="12"/>
        <v>55776320.640000008</v>
      </c>
      <c r="Q14" s="99">
        <f t="shared" si="12"/>
        <v>55776320.640000008</v>
      </c>
    </row>
    <row r="15" spans="1:24" x14ac:dyDescent="0.2">
      <c r="A15" s="43" t="s">
        <v>117</v>
      </c>
      <c r="B15" s="98">
        <v>450</v>
      </c>
      <c r="C15" s="99">
        <f>$B$15*C6</f>
        <v>0</v>
      </c>
      <c r="D15" s="99">
        <f t="shared" ref="D15:Q15" si="13">$B$15*D6</f>
        <v>0</v>
      </c>
      <c r="E15" s="99">
        <f t="shared" si="13"/>
        <v>190080</v>
      </c>
      <c r="F15" s="99">
        <f t="shared" si="13"/>
        <v>190080</v>
      </c>
      <c r="G15" s="99">
        <f t="shared" si="13"/>
        <v>527471.99999999988</v>
      </c>
      <c r="H15" s="99">
        <f t="shared" si="13"/>
        <v>679060.79999999993</v>
      </c>
      <c r="I15" s="99">
        <f t="shared" si="13"/>
        <v>783295.91999999993</v>
      </c>
      <c r="J15" s="99">
        <f t="shared" si="13"/>
        <v>906847.91999999981</v>
      </c>
      <c r="K15" s="99">
        <f t="shared" si="13"/>
        <v>897937.91999999981</v>
      </c>
      <c r="L15" s="99">
        <f t="shared" si="13"/>
        <v>898128</v>
      </c>
      <c r="M15" s="99">
        <f t="shared" si="13"/>
        <v>896939.99999999988</v>
      </c>
      <c r="N15" s="99">
        <f t="shared" si="13"/>
        <v>933768</v>
      </c>
      <c r="O15" s="99">
        <f t="shared" si="13"/>
        <v>933768</v>
      </c>
      <c r="P15" s="99">
        <f t="shared" si="13"/>
        <v>933768</v>
      </c>
      <c r="Q15" s="99">
        <f t="shared" si="13"/>
        <v>933768</v>
      </c>
    </row>
    <row r="16" spans="1:24" x14ac:dyDescent="0.2">
      <c r="A16" s="43" t="s">
        <v>118</v>
      </c>
      <c r="B16" s="98">
        <f>X4</f>
        <v>864.5454545454545</v>
      </c>
      <c r="C16" s="99">
        <f>$B$16*C10</f>
        <v>0</v>
      </c>
      <c r="D16" s="99">
        <f t="shared" ref="D16:Q16" si="14">$B$16*D10</f>
        <v>0</v>
      </c>
      <c r="E16" s="99">
        <f t="shared" si="14"/>
        <v>2349350.4000000004</v>
      </c>
      <c r="F16" s="99">
        <f t="shared" si="14"/>
        <v>2349350.4000000004</v>
      </c>
      <c r="G16" s="99">
        <f t="shared" si="14"/>
        <v>6519447.3599999994</v>
      </c>
      <c r="H16" s="99">
        <f t="shared" si="14"/>
        <v>8393054.3039999995</v>
      </c>
      <c r="I16" s="99">
        <f t="shared" si="14"/>
        <v>9681379.329599997</v>
      </c>
      <c r="J16" s="99">
        <f t="shared" si="14"/>
        <v>11208457.089599999</v>
      </c>
      <c r="K16" s="99">
        <f t="shared" si="14"/>
        <v>11098331.289599996</v>
      </c>
      <c r="L16" s="99">
        <f t="shared" si="14"/>
        <v>11100680.640000001</v>
      </c>
      <c r="M16" s="99">
        <f t="shared" si="14"/>
        <v>11085997.200000001</v>
      </c>
      <c r="N16" s="99">
        <f t="shared" si="14"/>
        <v>11541183.840000002</v>
      </c>
      <c r="O16" s="99">
        <f t="shared" si="14"/>
        <v>11541183.840000002</v>
      </c>
      <c r="P16" s="99">
        <f t="shared" si="14"/>
        <v>11541183.840000002</v>
      </c>
      <c r="Q16" s="99">
        <f t="shared" si="14"/>
        <v>11541183.840000002</v>
      </c>
    </row>
    <row r="17" spans="1:17" x14ac:dyDescent="0.2">
      <c r="A17" s="43" t="s">
        <v>119</v>
      </c>
      <c r="C17" s="99">
        <f>SUM(C14:C16)</f>
        <v>0</v>
      </c>
      <c r="D17" s="99">
        <f t="shared" ref="D17:Q17" si="15">SUM(D14:D16)</f>
        <v>0</v>
      </c>
      <c r="E17" s="99">
        <f t="shared" si="15"/>
        <v>13893388.800000003</v>
      </c>
      <c r="F17" s="99">
        <f t="shared" si="15"/>
        <v>13893388.800000003</v>
      </c>
      <c r="G17" s="99">
        <f t="shared" si="15"/>
        <v>38554153.920000002</v>
      </c>
      <c r="H17" s="99">
        <f t="shared" si="15"/>
        <v>49634131.487999991</v>
      </c>
      <c r="I17" s="99">
        <f t="shared" si="15"/>
        <v>57252918.571199991</v>
      </c>
      <c r="J17" s="99">
        <f t="shared" si="15"/>
        <v>66283621.291199997</v>
      </c>
      <c r="K17" s="99">
        <f t="shared" si="15"/>
        <v>65632368.691199988</v>
      </c>
      <c r="L17" s="99">
        <f t="shared" si="15"/>
        <v>65646262.080000006</v>
      </c>
      <c r="M17" s="99">
        <f t="shared" si="15"/>
        <v>65559428.400000006</v>
      </c>
      <c r="N17" s="99">
        <f t="shared" si="15"/>
        <v>68251272.480000004</v>
      </c>
      <c r="O17" s="99">
        <f t="shared" si="15"/>
        <v>68251272.480000004</v>
      </c>
      <c r="P17" s="99">
        <f t="shared" si="15"/>
        <v>68251272.480000004</v>
      </c>
      <c r="Q17" s="99">
        <f t="shared" si="15"/>
        <v>68251272.480000004</v>
      </c>
    </row>
    <row r="19" spans="1:17" ht="15" x14ac:dyDescent="0.2">
      <c r="A19" s="75" t="s">
        <v>77</v>
      </c>
      <c r="B19" s="76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</row>
    <row r="20" spans="1:17" x14ac:dyDescent="0.2">
      <c r="A20" s="211" t="s">
        <v>78</v>
      </c>
      <c r="B20" s="63">
        <f>Investment!F16+Investment!F17</f>
        <v>17000000</v>
      </c>
      <c r="C20" s="63">
        <f t="shared" ref="C20:L20" si="16">$B$20*$B$21</f>
        <v>816000</v>
      </c>
      <c r="D20" s="63">
        <f t="shared" si="16"/>
        <v>816000</v>
      </c>
      <c r="E20" s="63">
        <f t="shared" si="16"/>
        <v>816000</v>
      </c>
      <c r="F20" s="63">
        <f t="shared" si="16"/>
        <v>816000</v>
      </c>
      <c r="G20" s="63">
        <f t="shared" si="16"/>
        <v>816000</v>
      </c>
      <c r="H20" s="63">
        <f t="shared" si="16"/>
        <v>816000</v>
      </c>
      <c r="I20" s="63">
        <f t="shared" si="16"/>
        <v>816000</v>
      </c>
      <c r="J20" s="63">
        <f t="shared" si="16"/>
        <v>816000</v>
      </c>
      <c r="K20" s="63">
        <f t="shared" si="16"/>
        <v>816000</v>
      </c>
      <c r="L20" s="63">
        <f t="shared" si="16"/>
        <v>816000</v>
      </c>
      <c r="M20" s="63"/>
      <c r="N20" s="63"/>
      <c r="O20" s="63"/>
      <c r="P20" s="63"/>
      <c r="Q20" s="63"/>
    </row>
    <row r="21" spans="1:17" ht="15" x14ac:dyDescent="0.2">
      <c r="A21" s="211"/>
      <c r="B21" s="66">
        <v>4.8000000000000001E-2</v>
      </c>
      <c r="C21" s="101"/>
      <c r="D21" s="101"/>
      <c r="E21" s="101"/>
      <c r="F21" s="101"/>
      <c r="G21" s="101"/>
      <c r="H21" s="101"/>
      <c r="I21" s="101"/>
      <c r="J21" s="101"/>
      <c r="K21" s="101"/>
      <c r="L21" s="63">
        <f>B20</f>
        <v>17000000</v>
      </c>
      <c r="M21" s="63"/>
      <c r="N21" s="63"/>
      <c r="O21" s="63"/>
      <c r="P21" s="63"/>
      <c r="Q21" s="63"/>
    </row>
    <row r="22" spans="1:17" x14ac:dyDescent="0.2">
      <c r="A22" s="211"/>
      <c r="B22" s="61"/>
      <c r="C22" s="63">
        <f>C21+C20</f>
        <v>816000</v>
      </c>
      <c r="D22" s="63">
        <f t="shared" ref="D22:L22" si="17">D21+D20</f>
        <v>816000</v>
      </c>
      <c r="E22" s="63">
        <f t="shared" si="17"/>
        <v>816000</v>
      </c>
      <c r="F22" s="63">
        <f t="shared" si="17"/>
        <v>816000</v>
      </c>
      <c r="G22" s="63">
        <f t="shared" si="17"/>
        <v>816000</v>
      </c>
      <c r="H22" s="63">
        <f t="shared" si="17"/>
        <v>816000</v>
      </c>
      <c r="I22" s="63">
        <f t="shared" si="17"/>
        <v>816000</v>
      </c>
      <c r="J22" s="63">
        <f t="shared" si="17"/>
        <v>816000</v>
      </c>
      <c r="K22" s="63">
        <f t="shared" si="17"/>
        <v>816000</v>
      </c>
      <c r="L22" s="102">
        <f t="shared" si="17"/>
        <v>17816000</v>
      </c>
      <c r="M22" s="102"/>
      <c r="N22" s="102"/>
      <c r="O22" s="102"/>
      <c r="P22" s="102"/>
      <c r="Q22" s="102"/>
    </row>
    <row r="23" spans="1:17" x14ac:dyDescent="0.2">
      <c r="A23" s="169"/>
      <c r="B23" s="61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</row>
    <row r="24" spans="1:17" x14ac:dyDescent="0.2">
      <c r="A24" s="78"/>
      <c r="B24" s="180">
        <f>-B20</f>
        <v>-17000000</v>
      </c>
      <c r="C24" s="63">
        <f>C17-C12-C22-C11</f>
        <v>-816000</v>
      </c>
      <c r="D24" s="63">
        <f t="shared" ref="D24:Q24" si="18">D17-D12-D22-D11</f>
        <v>-816000</v>
      </c>
      <c r="E24" s="63">
        <f t="shared" si="18"/>
        <v>1650547.200000003</v>
      </c>
      <c r="F24" s="63">
        <f t="shared" si="18"/>
        <v>1650547.200000003</v>
      </c>
      <c r="G24" s="63">
        <f t="shared" si="18"/>
        <v>6028668.4800000042</v>
      </c>
      <c r="H24" s="63">
        <f t="shared" si="18"/>
        <v>7995739.8720000014</v>
      </c>
      <c r="I24" s="63">
        <f t="shared" si="18"/>
        <v>9348332.6928000003</v>
      </c>
      <c r="J24" s="63">
        <f t="shared" si="18"/>
        <v>10951588.372800007</v>
      </c>
      <c r="K24" s="63">
        <f t="shared" si="18"/>
        <v>10835968.972800002</v>
      </c>
      <c r="L24" s="63">
        <f t="shared" si="18"/>
        <v>-6161564.4799999967</v>
      </c>
      <c r="M24" s="63">
        <f>M17-M12-M22-M11</f>
        <v>11639019.600000009</v>
      </c>
      <c r="N24" s="63">
        <f t="shared" si="18"/>
        <v>12116913.120000005</v>
      </c>
      <c r="O24" s="63">
        <f t="shared" si="18"/>
        <v>12116913.120000005</v>
      </c>
      <c r="P24" s="63">
        <f t="shared" si="18"/>
        <v>12116913.120000005</v>
      </c>
      <c r="Q24" s="63">
        <f t="shared" si="18"/>
        <v>12116913.120000005</v>
      </c>
    </row>
    <row r="25" spans="1:17" x14ac:dyDescent="0.2">
      <c r="A25" s="79"/>
      <c r="B25" s="80" t="s">
        <v>80</v>
      </c>
      <c r="C25" s="80"/>
      <c r="D25" s="48">
        <f>C24+D24</f>
        <v>-1632000</v>
      </c>
      <c r="E25" s="48">
        <f>D25+E24</f>
        <v>18547.20000000298</v>
      </c>
      <c r="F25" s="48">
        <f t="shared" ref="F25:L25" si="19">E25+F24</f>
        <v>1669094.400000006</v>
      </c>
      <c r="G25" s="48">
        <f t="shared" si="19"/>
        <v>7697762.8800000101</v>
      </c>
      <c r="H25" s="48">
        <f t="shared" si="19"/>
        <v>15693502.752000012</v>
      </c>
      <c r="I25" s="48">
        <f t="shared" si="19"/>
        <v>25041835.444800012</v>
      </c>
      <c r="J25" s="48">
        <f t="shared" si="19"/>
        <v>35993423.817600019</v>
      </c>
      <c r="K25" s="48">
        <f t="shared" si="19"/>
        <v>46829392.790400021</v>
      </c>
      <c r="L25" s="48">
        <f t="shared" si="19"/>
        <v>40667828.310400024</v>
      </c>
      <c r="M25" s="48">
        <f t="shared" ref="M25" si="20">L25+M24</f>
        <v>52306847.910400033</v>
      </c>
      <c r="N25" s="48">
        <f t="shared" ref="N25" si="21">M25+N24</f>
        <v>64423761.030400038</v>
      </c>
      <c r="O25" s="48">
        <f t="shared" ref="O25" si="22">N25+O24</f>
        <v>76540674.150400043</v>
      </c>
      <c r="P25" s="48">
        <f t="shared" ref="P25" si="23">O25+P24</f>
        <v>88657587.270400047</v>
      </c>
      <c r="Q25" s="48">
        <f t="shared" ref="Q25" si="24">P25+Q24</f>
        <v>100774500.39040005</v>
      </c>
    </row>
    <row r="26" spans="1:17" ht="12" thickBot="1" x14ac:dyDescent="0.25"/>
    <row r="27" spans="1:17" ht="12" x14ac:dyDescent="0.2">
      <c r="A27" s="171" t="s">
        <v>24</v>
      </c>
      <c r="B27" s="179" t="s">
        <v>81</v>
      </c>
    </row>
    <row r="28" spans="1:17" ht="12" thickBot="1" x14ac:dyDescent="0.25">
      <c r="A28" s="118">
        <f>IRR(B24:Q24,B28)</f>
        <v>0.20524025105510635</v>
      </c>
      <c r="B28" s="149">
        <v>9.5000000000000001E-2</v>
      </c>
    </row>
  </sheetData>
  <mergeCells count="1">
    <mergeCell ref="A20:A22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59999389629810485"/>
    <pageSetUpPr fitToPage="1"/>
  </sheetPr>
  <dimension ref="A1:R27"/>
  <sheetViews>
    <sheetView workbookViewId="0">
      <selection activeCell="B26" sqref="B26"/>
    </sheetView>
  </sheetViews>
  <sheetFormatPr baseColWidth="10" defaultColWidth="11.42578125" defaultRowHeight="15" x14ac:dyDescent="0.25"/>
  <cols>
    <col min="1" max="1" width="17.85546875" bestFit="1" customWidth="1"/>
    <col min="2" max="2" width="12.140625" style="36" bestFit="1" customWidth="1"/>
    <col min="12" max="13" width="12.140625" bestFit="1" customWidth="1"/>
  </cols>
  <sheetData>
    <row r="1" spans="1:18" x14ac:dyDescent="0.25">
      <c r="A1" s="1" t="s">
        <v>120</v>
      </c>
      <c r="B1" s="38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8" x14ac:dyDescent="0.25">
      <c r="A2" s="1"/>
      <c r="B2" s="38" t="s">
        <v>41</v>
      </c>
      <c r="C2" s="1">
        <v>1</v>
      </c>
      <c r="D2" s="1">
        <v>2</v>
      </c>
      <c r="E2" s="1">
        <v>3</v>
      </c>
      <c r="F2" s="1">
        <v>4</v>
      </c>
      <c r="G2" s="1">
        <v>5</v>
      </c>
      <c r="H2" s="1">
        <v>6</v>
      </c>
      <c r="I2" s="1">
        <v>7</v>
      </c>
      <c r="J2" s="1">
        <v>8</v>
      </c>
      <c r="K2" s="1">
        <v>9</v>
      </c>
      <c r="L2" s="1">
        <v>10</v>
      </c>
      <c r="M2" s="1">
        <v>11</v>
      </c>
      <c r="N2" s="1">
        <v>12</v>
      </c>
      <c r="O2" s="1">
        <v>13</v>
      </c>
      <c r="P2" s="1">
        <v>14</v>
      </c>
      <c r="Q2" s="1">
        <v>15</v>
      </c>
    </row>
    <row r="3" spans="1:18" ht="12.6" customHeight="1" x14ac:dyDescent="0.25">
      <c r="A3" s="1" t="s">
        <v>82</v>
      </c>
      <c r="B3" s="38"/>
      <c r="C3" s="45">
        <v>2019</v>
      </c>
      <c r="D3" s="45">
        <v>2020</v>
      </c>
      <c r="E3" s="45">
        <v>2021</v>
      </c>
      <c r="F3" s="45">
        <v>2022</v>
      </c>
      <c r="G3" s="45">
        <v>2023</v>
      </c>
      <c r="H3" s="45">
        <v>2024</v>
      </c>
      <c r="I3" s="45">
        <v>2025</v>
      </c>
      <c r="J3" s="45">
        <v>2026</v>
      </c>
      <c r="K3" s="45">
        <v>2027</v>
      </c>
      <c r="L3" s="45">
        <v>2028</v>
      </c>
      <c r="M3" s="45">
        <v>2029</v>
      </c>
      <c r="N3" s="45">
        <v>2030</v>
      </c>
      <c r="O3" s="45">
        <v>2031</v>
      </c>
      <c r="P3" s="45">
        <v>2032</v>
      </c>
      <c r="Q3" s="45">
        <v>2033</v>
      </c>
      <c r="R3" s="25"/>
    </row>
    <row r="4" spans="1:18" x14ac:dyDescent="0.25">
      <c r="A4" s="1" t="s">
        <v>121</v>
      </c>
      <c r="B4" s="46">
        <v>0.7</v>
      </c>
      <c r="D4" s="17">
        <f>$B$4*'A B Farm'!C37</f>
        <v>44800</v>
      </c>
      <c r="E4" s="17">
        <f>$B$4*'A B Farm'!D37</f>
        <v>44800</v>
      </c>
      <c r="F4" s="17">
        <f>$B$4*'A B Farm'!E37</f>
        <v>68319.999999999985</v>
      </c>
      <c r="G4" s="17">
        <f>$B$4*'A B Farm'!F37</f>
        <v>97047.999999999971</v>
      </c>
      <c r="H4" s="17">
        <f>$B$4*'A B Farm'!G37</f>
        <v>135615.19999999995</v>
      </c>
      <c r="I4" s="17">
        <f>$B$4*'A B Farm'!H37</f>
        <v>154235.19999999995</v>
      </c>
      <c r="J4" s="17">
        <f>$B$4*'A B Farm'!I37</f>
        <v>173135.19999999995</v>
      </c>
      <c r="K4" s="17">
        <f>$B$4*'A B Farm'!J37</f>
        <v>194180</v>
      </c>
      <c r="L4" s="17">
        <f>$B$4*'A B Farm'!K37</f>
        <v>204400</v>
      </c>
      <c r="M4" s="17">
        <f>$B$4*'A B Farm'!L37</f>
        <v>213080</v>
      </c>
      <c r="N4" s="17">
        <f>$B$4*'A B Farm'!M37</f>
        <v>221620</v>
      </c>
      <c r="O4" s="17">
        <f>$B$4*'A B Farm'!N37</f>
        <v>224700</v>
      </c>
      <c r="P4" s="17">
        <f>$B$4*'A B Farm'!O37</f>
        <v>224700</v>
      </c>
      <c r="Q4" s="17">
        <f>$B$4*'A B Farm'!P37</f>
        <v>224700</v>
      </c>
      <c r="R4" s="166"/>
    </row>
    <row r="5" spans="1:18" x14ac:dyDescent="0.25">
      <c r="A5" s="1" t="s">
        <v>122</v>
      </c>
      <c r="B5" s="37">
        <v>7</v>
      </c>
      <c r="D5" s="37">
        <f>$B$5*D4</f>
        <v>313600</v>
      </c>
      <c r="E5" s="37">
        <f t="shared" ref="E5:M5" si="0">$B$5*E4</f>
        <v>313600</v>
      </c>
      <c r="F5" s="37">
        <f t="shared" si="0"/>
        <v>478239.99999999988</v>
      </c>
      <c r="G5" s="37">
        <f t="shared" si="0"/>
        <v>679335.99999999977</v>
      </c>
      <c r="H5" s="37">
        <f t="shared" si="0"/>
        <v>949306.39999999967</v>
      </c>
      <c r="I5" s="37">
        <f t="shared" si="0"/>
        <v>1079646.3999999997</v>
      </c>
      <c r="J5" s="37">
        <f t="shared" si="0"/>
        <v>1211946.3999999997</v>
      </c>
      <c r="K5" s="37">
        <f t="shared" si="0"/>
        <v>1359260</v>
      </c>
      <c r="L5" s="37">
        <f t="shared" si="0"/>
        <v>1430800</v>
      </c>
      <c r="M5" s="37">
        <f t="shared" si="0"/>
        <v>1491560</v>
      </c>
      <c r="N5" s="37">
        <f t="shared" ref="N5:Q5" si="1">$B$5*N4</f>
        <v>1551340</v>
      </c>
      <c r="O5" s="37">
        <f t="shared" si="1"/>
        <v>1572900</v>
      </c>
      <c r="P5" s="37">
        <f t="shared" si="1"/>
        <v>1572900</v>
      </c>
      <c r="Q5" s="37">
        <f t="shared" si="1"/>
        <v>1572900</v>
      </c>
      <c r="R5" s="64"/>
    </row>
    <row r="6" spans="1:18" x14ac:dyDescent="0.25">
      <c r="A6" s="1" t="s">
        <v>123</v>
      </c>
      <c r="B6" s="37">
        <v>40</v>
      </c>
      <c r="D6" s="37">
        <f>$B$6*D4</f>
        <v>1792000</v>
      </c>
      <c r="E6" s="37">
        <f t="shared" ref="E6:M6" si="2">$B$6*E4</f>
        <v>1792000</v>
      </c>
      <c r="F6" s="37">
        <f t="shared" si="2"/>
        <v>2732799.9999999995</v>
      </c>
      <c r="G6" s="37">
        <f t="shared" si="2"/>
        <v>3881919.9999999991</v>
      </c>
      <c r="H6" s="37">
        <f t="shared" si="2"/>
        <v>5424607.9999999981</v>
      </c>
      <c r="I6" s="37">
        <f t="shared" si="2"/>
        <v>6169407.9999999981</v>
      </c>
      <c r="J6" s="37">
        <f t="shared" si="2"/>
        <v>6925407.9999999981</v>
      </c>
      <c r="K6" s="37">
        <f t="shared" si="2"/>
        <v>7767200</v>
      </c>
      <c r="L6" s="37">
        <f t="shared" si="2"/>
        <v>8176000</v>
      </c>
      <c r="M6" s="37">
        <f t="shared" si="2"/>
        <v>8523200</v>
      </c>
      <c r="N6" s="37">
        <f t="shared" ref="N6:Q6" si="3">$B$6*N4</f>
        <v>8864800</v>
      </c>
      <c r="O6" s="37">
        <f t="shared" si="3"/>
        <v>8988000</v>
      </c>
      <c r="P6" s="37">
        <f t="shared" si="3"/>
        <v>8988000</v>
      </c>
      <c r="Q6" s="37">
        <f t="shared" si="3"/>
        <v>8988000</v>
      </c>
      <c r="R6" s="64"/>
    </row>
    <row r="7" spans="1:18" x14ac:dyDescent="0.25">
      <c r="A7" s="1"/>
      <c r="B7" s="46"/>
      <c r="C7" s="17"/>
      <c r="D7" s="17"/>
      <c r="E7" s="17"/>
      <c r="F7" s="17"/>
      <c r="G7" s="17"/>
      <c r="H7" s="17"/>
      <c r="I7" s="17"/>
      <c r="J7" s="17"/>
      <c r="K7" s="17"/>
      <c r="L7" s="17"/>
      <c r="R7" s="25"/>
    </row>
    <row r="8" spans="1:18" x14ac:dyDescent="0.25">
      <c r="A8" s="1" t="s">
        <v>100</v>
      </c>
      <c r="B8" s="46"/>
      <c r="C8" s="17"/>
      <c r="D8" s="17"/>
      <c r="E8" s="17"/>
      <c r="F8" s="17"/>
      <c r="G8" s="17"/>
      <c r="H8" s="17"/>
      <c r="I8" s="17"/>
      <c r="J8" s="17"/>
      <c r="K8" s="17"/>
      <c r="L8" s="17"/>
      <c r="R8" s="25"/>
    </row>
    <row r="9" spans="1:18" x14ac:dyDescent="0.25">
      <c r="A9" s="1"/>
      <c r="B9" s="38" t="s">
        <v>41</v>
      </c>
      <c r="C9" s="1">
        <v>1</v>
      </c>
      <c r="D9" s="1">
        <v>2</v>
      </c>
      <c r="E9" s="1">
        <v>3</v>
      </c>
      <c r="F9" s="1">
        <v>4</v>
      </c>
      <c r="G9" s="1">
        <v>5</v>
      </c>
      <c r="H9" s="1">
        <v>6</v>
      </c>
      <c r="I9" s="1">
        <v>7</v>
      </c>
      <c r="J9" s="1">
        <v>8</v>
      </c>
      <c r="K9" s="1">
        <v>9</v>
      </c>
      <c r="L9" s="1">
        <v>10</v>
      </c>
      <c r="M9" s="1">
        <v>11</v>
      </c>
      <c r="N9" s="1">
        <v>12</v>
      </c>
      <c r="O9" s="1">
        <v>13</v>
      </c>
      <c r="P9" s="1">
        <v>14</v>
      </c>
      <c r="Q9" s="1">
        <v>15</v>
      </c>
      <c r="R9" s="25"/>
    </row>
    <row r="10" spans="1:18" ht="12.6" customHeight="1" x14ac:dyDescent="0.25">
      <c r="A10" s="1" t="s">
        <v>82</v>
      </c>
      <c r="B10" s="38"/>
      <c r="C10" s="45">
        <v>2019</v>
      </c>
      <c r="D10" s="45">
        <v>2020</v>
      </c>
      <c r="E10" s="45">
        <v>2021</v>
      </c>
      <c r="F10" s="45">
        <v>2022</v>
      </c>
      <c r="G10" s="45">
        <v>2023</v>
      </c>
      <c r="H10" s="45">
        <v>2024</v>
      </c>
      <c r="I10" s="45">
        <v>2025</v>
      </c>
      <c r="J10" s="45">
        <v>2026</v>
      </c>
      <c r="K10" s="45">
        <v>2027</v>
      </c>
      <c r="L10" s="45">
        <v>2028</v>
      </c>
      <c r="M10" s="45">
        <v>2029</v>
      </c>
      <c r="N10" s="45">
        <v>2030</v>
      </c>
      <c r="O10" s="45">
        <v>2031</v>
      </c>
      <c r="P10" s="45">
        <v>2032</v>
      </c>
      <c r="Q10" s="45">
        <v>2033</v>
      </c>
      <c r="R10" s="25"/>
    </row>
    <row r="11" spans="1:18" x14ac:dyDescent="0.25">
      <c r="A11" s="1" t="s">
        <v>124</v>
      </c>
      <c r="B11" s="58">
        <v>3000000</v>
      </c>
      <c r="D11" s="37">
        <f>$B$11*$B$14</f>
        <v>288000</v>
      </c>
      <c r="E11" s="37">
        <f>$B$11*$B$14</f>
        <v>288000</v>
      </c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64"/>
    </row>
    <row r="12" spans="1:18" x14ac:dyDescent="0.25">
      <c r="B12" s="58">
        <v>5000000</v>
      </c>
      <c r="D12" s="37"/>
      <c r="E12" s="37"/>
      <c r="F12" s="37">
        <f>$B$12*$B$14</f>
        <v>480000</v>
      </c>
      <c r="G12" s="37">
        <f>$B$12*$B$14</f>
        <v>480000</v>
      </c>
      <c r="H12" s="37">
        <f>$B$12*$B$14</f>
        <v>480000</v>
      </c>
      <c r="I12" s="37"/>
      <c r="J12" s="37"/>
      <c r="K12" s="37"/>
      <c r="L12" s="37"/>
      <c r="M12" s="37"/>
      <c r="N12" s="37"/>
      <c r="O12" s="37"/>
      <c r="P12" s="37"/>
      <c r="Q12" s="37"/>
      <c r="R12" s="64"/>
    </row>
    <row r="13" spans="1:18" x14ac:dyDescent="0.25">
      <c r="B13" s="58">
        <v>8000000</v>
      </c>
      <c r="D13" s="37"/>
      <c r="E13" s="37"/>
      <c r="F13" s="37"/>
      <c r="G13" s="37"/>
      <c r="H13" s="37"/>
      <c r="I13" s="37">
        <f>(($B$13*$B$14))</f>
        <v>768000</v>
      </c>
      <c r="J13" s="37">
        <f>$B$13*$B$14</f>
        <v>768000</v>
      </c>
      <c r="K13" s="37">
        <f>$B$13*$B$14</f>
        <v>768000</v>
      </c>
      <c r="L13" s="37">
        <f>$B$13*$B$14</f>
        <v>768000</v>
      </c>
      <c r="M13" s="37">
        <f>$B$13*$B$14</f>
        <v>768000</v>
      </c>
      <c r="N13" s="37">
        <f t="shared" ref="N13:Q13" si="4">$B$13*$B$14</f>
        <v>768000</v>
      </c>
      <c r="O13" s="37">
        <f t="shared" si="4"/>
        <v>768000</v>
      </c>
      <c r="P13" s="37">
        <f t="shared" si="4"/>
        <v>768000</v>
      </c>
      <c r="Q13" s="37">
        <f t="shared" si="4"/>
        <v>768000</v>
      </c>
      <c r="R13" s="64"/>
    </row>
    <row r="14" spans="1:18" x14ac:dyDescent="0.25">
      <c r="A14" s="1" t="s">
        <v>125</v>
      </c>
      <c r="B14" s="59">
        <v>9.6000000000000002E-2</v>
      </c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167"/>
    </row>
    <row r="15" spans="1:18" x14ac:dyDescent="0.25">
      <c r="A15" s="1"/>
      <c r="B15" s="59"/>
      <c r="D15" s="5">
        <f t="shared" ref="D15:Q15" si="5">SUM(D11:D14)</f>
        <v>288000</v>
      </c>
      <c r="E15" s="5">
        <f t="shared" si="5"/>
        <v>288000</v>
      </c>
      <c r="F15" s="5">
        <f t="shared" si="5"/>
        <v>480000</v>
      </c>
      <c r="G15" s="5">
        <f t="shared" si="5"/>
        <v>480000</v>
      </c>
      <c r="H15" s="5">
        <f t="shared" si="5"/>
        <v>480000</v>
      </c>
      <c r="I15" s="5">
        <f t="shared" si="5"/>
        <v>768000</v>
      </c>
      <c r="J15" s="5">
        <f t="shared" si="5"/>
        <v>768000</v>
      </c>
      <c r="K15" s="5">
        <f t="shared" si="5"/>
        <v>768000</v>
      </c>
      <c r="L15" s="5">
        <f t="shared" si="5"/>
        <v>768000</v>
      </c>
      <c r="M15" s="5">
        <f t="shared" si="5"/>
        <v>768000</v>
      </c>
      <c r="N15" s="5">
        <f t="shared" si="5"/>
        <v>768000</v>
      </c>
      <c r="O15" s="5">
        <f t="shared" si="5"/>
        <v>768000</v>
      </c>
      <c r="P15" s="5">
        <f t="shared" si="5"/>
        <v>768000</v>
      </c>
      <c r="Q15" s="5">
        <f t="shared" si="5"/>
        <v>768000</v>
      </c>
      <c r="R15" s="63"/>
    </row>
    <row r="16" spans="1:18" x14ac:dyDescent="0.25">
      <c r="B16" s="38"/>
      <c r="C16" s="2"/>
      <c r="D16" s="2"/>
      <c r="E16" s="2"/>
      <c r="F16" s="2"/>
      <c r="G16" s="2"/>
      <c r="H16" s="2"/>
      <c r="I16" s="2"/>
      <c r="J16" s="2"/>
      <c r="K16" s="2"/>
      <c r="L16" s="2"/>
      <c r="R16" s="25"/>
    </row>
    <row r="17" spans="1:18" x14ac:dyDescent="0.25">
      <c r="A17" s="75" t="s">
        <v>77</v>
      </c>
      <c r="B17" s="76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103"/>
      <c r="N17" s="103"/>
      <c r="O17" s="103"/>
      <c r="P17" s="103"/>
      <c r="Q17" s="103"/>
      <c r="R17" s="25"/>
    </row>
    <row r="18" spans="1:18" x14ac:dyDescent="0.25">
      <c r="A18" s="211" t="s">
        <v>126</v>
      </c>
      <c r="B18" s="63">
        <f>Investment!F21+Investment!F27</f>
        <v>23000000</v>
      </c>
      <c r="C18" s="64">
        <f>$B$18*$B$19</f>
        <v>1104000</v>
      </c>
      <c r="D18" s="64">
        <f t="shared" ref="D18:L18" si="6">$B$18*$B$19</f>
        <v>1104000</v>
      </c>
      <c r="E18" s="64">
        <f t="shared" si="6"/>
        <v>1104000</v>
      </c>
      <c r="F18" s="64">
        <f t="shared" si="6"/>
        <v>1104000</v>
      </c>
      <c r="G18" s="64">
        <f t="shared" si="6"/>
        <v>1104000</v>
      </c>
      <c r="H18" s="64">
        <f t="shared" si="6"/>
        <v>1104000</v>
      </c>
      <c r="I18" s="64">
        <f t="shared" si="6"/>
        <v>1104000</v>
      </c>
      <c r="J18" s="64">
        <f t="shared" si="6"/>
        <v>1104000</v>
      </c>
      <c r="K18" s="64">
        <f t="shared" si="6"/>
        <v>1104000</v>
      </c>
      <c r="L18" s="64">
        <f t="shared" si="6"/>
        <v>1104000</v>
      </c>
      <c r="R18" s="25"/>
    </row>
    <row r="19" spans="1:18" x14ac:dyDescent="0.25">
      <c r="A19" s="211"/>
      <c r="B19" s="66">
        <v>4.8000000000000001E-2</v>
      </c>
      <c r="C19" s="39"/>
      <c r="D19" s="39"/>
      <c r="E19" s="39"/>
      <c r="F19" s="39"/>
      <c r="G19" s="39"/>
      <c r="H19" s="39"/>
      <c r="I19" s="39"/>
      <c r="J19" s="39"/>
      <c r="K19" s="39"/>
      <c r="L19" s="40">
        <f>B18</f>
        <v>23000000</v>
      </c>
      <c r="M19" s="104"/>
      <c r="N19" s="104"/>
      <c r="O19" s="104"/>
      <c r="P19" s="104"/>
      <c r="Q19" s="104"/>
      <c r="R19" s="25"/>
    </row>
    <row r="20" spans="1:18" x14ac:dyDescent="0.25">
      <c r="A20" s="211"/>
      <c r="B20" s="61"/>
      <c r="C20" s="64">
        <f>C19+C18</f>
        <v>1104000</v>
      </c>
      <c r="D20" s="64">
        <f t="shared" ref="D20:L20" si="7">D19+D18</f>
        <v>1104000</v>
      </c>
      <c r="E20" s="64">
        <f t="shared" si="7"/>
        <v>1104000</v>
      </c>
      <c r="F20" s="64">
        <f t="shared" si="7"/>
        <v>1104000</v>
      </c>
      <c r="G20" s="64">
        <f t="shared" si="7"/>
        <v>1104000</v>
      </c>
      <c r="H20" s="64">
        <f t="shared" si="7"/>
        <v>1104000</v>
      </c>
      <c r="I20" s="64">
        <f t="shared" si="7"/>
        <v>1104000</v>
      </c>
      <c r="J20" s="64">
        <f t="shared" si="7"/>
        <v>1104000</v>
      </c>
      <c r="K20" s="64">
        <f t="shared" si="7"/>
        <v>1104000</v>
      </c>
      <c r="L20" s="64">
        <f t="shared" si="7"/>
        <v>24104000</v>
      </c>
      <c r="R20" s="25"/>
    </row>
    <row r="21" spans="1:18" x14ac:dyDescent="0.25">
      <c r="A21" s="169"/>
      <c r="B21" s="61"/>
      <c r="C21" s="64"/>
      <c r="D21" s="64"/>
      <c r="E21" s="64"/>
      <c r="F21" s="64"/>
      <c r="G21" s="64"/>
      <c r="H21" s="64"/>
      <c r="I21" s="64"/>
      <c r="J21" s="64"/>
      <c r="K21" s="64"/>
      <c r="L21" s="64"/>
      <c r="R21" s="25"/>
    </row>
    <row r="22" spans="1:18" x14ac:dyDescent="0.25">
      <c r="A22" s="78"/>
      <c r="B22" s="180">
        <f>-B18</f>
        <v>-23000000</v>
      </c>
      <c r="C22" s="63">
        <f>C6-C5+C15-C20</f>
        <v>-1104000</v>
      </c>
      <c r="D22" s="63">
        <f>D6-D5+D15-D20</f>
        <v>662400</v>
      </c>
      <c r="E22" s="63">
        <f t="shared" ref="E22:Q22" si="8">E6-E5+E15-E20</f>
        <v>662400</v>
      </c>
      <c r="F22" s="63">
        <f t="shared" si="8"/>
        <v>1630559.9999999995</v>
      </c>
      <c r="G22" s="63">
        <f t="shared" si="8"/>
        <v>2578583.9999999991</v>
      </c>
      <c r="H22" s="63">
        <f t="shared" si="8"/>
        <v>3851301.5999999987</v>
      </c>
      <c r="I22" s="63">
        <f t="shared" si="8"/>
        <v>4753761.5999999987</v>
      </c>
      <c r="J22" s="63">
        <f t="shared" si="8"/>
        <v>5377461.5999999987</v>
      </c>
      <c r="K22" s="63">
        <f t="shared" si="8"/>
        <v>6071940</v>
      </c>
      <c r="L22" s="63">
        <f t="shared" si="8"/>
        <v>-16590800</v>
      </c>
      <c r="M22" s="63">
        <f t="shared" si="8"/>
        <v>7799640</v>
      </c>
      <c r="N22" s="63">
        <f t="shared" si="8"/>
        <v>8081460</v>
      </c>
      <c r="O22" s="63">
        <f t="shared" si="8"/>
        <v>8183100</v>
      </c>
      <c r="P22" s="63">
        <f t="shared" si="8"/>
        <v>8183100</v>
      </c>
      <c r="Q22" s="63">
        <f t="shared" si="8"/>
        <v>8183100</v>
      </c>
      <c r="R22" s="63"/>
    </row>
    <row r="23" spans="1:18" x14ac:dyDescent="0.25">
      <c r="A23" s="79"/>
      <c r="B23" s="80" t="s">
        <v>80</v>
      </c>
      <c r="C23" s="80"/>
      <c r="D23" s="48">
        <f>C22+D22</f>
        <v>-441600</v>
      </c>
      <c r="E23" s="48">
        <f>D22+E22</f>
        <v>1324800</v>
      </c>
      <c r="F23" s="48">
        <f>E23+F22</f>
        <v>2955359.9999999995</v>
      </c>
      <c r="G23" s="48">
        <f t="shared" ref="G23:M23" si="9">F23+G22</f>
        <v>5533943.9999999981</v>
      </c>
      <c r="H23" s="48">
        <f t="shared" si="9"/>
        <v>9385245.5999999978</v>
      </c>
      <c r="I23" s="48">
        <f t="shared" si="9"/>
        <v>14139007.199999996</v>
      </c>
      <c r="J23" s="48">
        <f t="shared" si="9"/>
        <v>19516468.799999993</v>
      </c>
      <c r="K23" s="48">
        <f t="shared" si="9"/>
        <v>25588408.799999993</v>
      </c>
      <c r="L23" s="48">
        <f t="shared" si="9"/>
        <v>8997608.7999999933</v>
      </c>
      <c r="M23" s="48">
        <f t="shared" si="9"/>
        <v>16797248.799999993</v>
      </c>
      <c r="N23" s="48">
        <f t="shared" ref="N23" si="10">M23+N22</f>
        <v>24878708.799999993</v>
      </c>
      <c r="O23" s="48">
        <f t="shared" ref="O23" si="11">N23+O22</f>
        <v>33061808.799999993</v>
      </c>
      <c r="P23" s="48">
        <f t="shared" ref="P23" si="12">O23+P22</f>
        <v>41244908.799999997</v>
      </c>
      <c r="Q23" s="48">
        <f t="shared" ref="Q23" si="13">P23+Q22</f>
        <v>49428008.799999997</v>
      </c>
      <c r="R23" s="63"/>
    </row>
    <row r="24" spans="1:18" ht="15.75" thickBot="1" x14ac:dyDescent="0.3">
      <c r="R24" s="25"/>
    </row>
    <row r="25" spans="1:18" x14ac:dyDescent="0.25">
      <c r="B25" s="120" t="s">
        <v>24</v>
      </c>
      <c r="C25" s="119" t="s">
        <v>127</v>
      </c>
      <c r="R25" s="25"/>
    </row>
    <row r="26" spans="1:18" x14ac:dyDescent="0.25">
      <c r="B26" s="181">
        <f>IRR(B22:R22,C26)</f>
        <v>7.2376084028204168E-2</v>
      </c>
      <c r="C26" s="150">
        <v>9.5000000000000001E-2</v>
      </c>
      <c r="R26" s="25"/>
    </row>
    <row r="27" spans="1:18" x14ac:dyDescent="0.25">
      <c r="R27" s="25"/>
    </row>
  </sheetData>
  <mergeCells count="1">
    <mergeCell ref="A18:A20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3:R66"/>
  <sheetViews>
    <sheetView tabSelected="1" zoomScale="90" zoomScaleNormal="90" workbookViewId="0">
      <selection activeCell="C17" sqref="C17"/>
    </sheetView>
  </sheetViews>
  <sheetFormatPr baseColWidth="10" defaultColWidth="11.42578125" defaultRowHeight="15" x14ac:dyDescent="0.25"/>
  <cols>
    <col min="1" max="1" width="13" customWidth="1"/>
    <col min="2" max="2" width="13" bestFit="1" customWidth="1"/>
    <col min="3" max="8" width="13" customWidth="1"/>
    <col min="9" max="11" width="13.5703125" bestFit="1" customWidth="1"/>
    <col min="12" max="12" width="13.42578125" bestFit="1" customWidth="1"/>
    <col min="13" max="13" width="13.5703125" style="93" bestFit="1" customWidth="1"/>
    <col min="14" max="14" width="13.5703125" style="1" bestFit="1" customWidth="1"/>
    <col min="15" max="15" width="14.28515625" style="93" bestFit="1" customWidth="1"/>
    <col min="16" max="16" width="13.28515625" style="93" bestFit="1" customWidth="1"/>
    <col min="17" max="17" width="13.5703125" style="93" bestFit="1" customWidth="1"/>
  </cols>
  <sheetData>
    <row r="3" spans="1:18" x14ac:dyDescent="0.25">
      <c r="C3" s="18">
        <v>1</v>
      </c>
      <c r="D3" s="18">
        <v>2</v>
      </c>
      <c r="E3" s="18">
        <v>3</v>
      </c>
      <c r="F3" s="18">
        <v>4</v>
      </c>
      <c r="G3" s="18">
        <v>5</v>
      </c>
      <c r="H3" s="18">
        <v>6</v>
      </c>
      <c r="I3" s="18">
        <v>7</v>
      </c>
      <c r="J3" s="18">
        <v>8</v>
      </c>
      <c r="K3" s="18">
        <v>9</v>
      </c>
      <c r="L3" s="18">
        <v>10</v>
      </c>
      <c r="M3" s="18">
        <v>11</v>
      </c>
      <c r="N3" s="18">
        <v>12</v>
      </c>
      <c r="O3" s="18">
        <v>13</v>
      </c>
      <c r="P3" s="18">
        <v>14</v>
      </c>
      <c r="Q3" s="18">
        <v>15</v>
      </c>
    </row>
    <row r="4" spans="1:18" ht="15.75" thickBot="1" x14ac:dyDescent="0.3">
      <c r="M4"/>
      <c r="N4"/>
      <c r="O4"/>
      <c r="P4"/>
      <c r="Q4"/>
    </row>
    <row r="5" spans="1:18" ht="15.75" thickBot="1" x14ac:dyDescent="0.3">
      <c r="A5" s="71" t="s">
        <v>128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3"/>
    </row>
    <row r="6" spans="1:18" ht="15.75" thickBot="1" x14ac:dyDescent="0.3">
      <c r="A6" s="71" t="str">
        <f>'A B Farm'!A43</f>
        <v>Cash Flow</v>
      </c>
      <c r="B6" s="61"/>
      <c r="C6" s="62"/>
      <c r="D6" s="62"/>
      <c r="E6" s="62"/>
      <c r="F6" s="62"/>
      <c r="G6" s="62"/>
      <c r="H6" s="62"/>
      <c r="I6" s="62"/>
      <c r="J6" s="62"/>
      <c r="K6" s="62"/>
      <c r="L6" s="62"/>
      <c r="Q6" s="123"/>
    </row>
    <row r="7" spans="1:18" x14ac:dyDescent="0.25">
      <c r="A7" s="223" t="str">
        <f>'A B Farm'!A44</f>
        <v>Cost of Credit</v>
      </c>
      <c r="B7" s="63">
        <f>'A B Farm'!B44</f>
        <v>82200000</v>
      </c>
      <c r="C7" s="64">
        <f>'A B Farm'!C44</f>
        <v>3945600</v>
      </c>
      <c r="D7" s="64">
        <f>'A B Farm'!D44</f>
        <v>3945600</v>
      </c>
      <c r="E7" s="64">
        <f>'A B Farm'!E44</f>
        <v>3945600</v>
      </c>
      <c r="F7" s="64">
        <f>'A B Farm'!F44</f>
        <v>3945600</v>
      </c>
      <c r="G7" s="64">
        <f>'A B Farm'!G44</f>
        <v>3945600</v>
      </c>
      <c r="H7" s="64">
        <f>'A B Farm'!H44</f>
        <v>3945600</v>
      </c>
      <c r="I7" s="64">
        <f>'A B Farm'!I44</f>
        <v>3945600</v>
      </c>
      <c r="J7" s="64">
        <f>'A B Farm'!J44</f>
        <v>3945600</v>
      </c>
      <c r="K7" s="64">
        <f>'A B Farm'!K44</f>
        <v>3945600</v>
      </c>
      <c r="L7" s="64">
        <f>'A B Farm'!L44</f>
        <v>3945600</v>
      </c>
      <c r="M7" s="63"/>
      <c r="N7" s="63"/>
      <c r="O7" s="63"/>
      <c r="P7" s="63"/>
      <c r="Q7" s="63"/>
      <c r="R7" s="24"/>
    </row>
    <row r="8" spans="1:18" x14ac:dyDescent="0.25">
      <c r="A8" s="223">
        <f>'A B Farm'!A45</f>
        <v>0</v>
      </c>
      <c r="B8" s="66">
        <f>'A B Farm'!B45</f>
        <v>4.8000000000000001E-2</v>
      </c>
      <c r="C8" s="39"/>
      <c r="D8" s="39"/>
      <c r="E8" s="39"/>
      <c r="F8" s="39"/>
      <c r="G8" s="39"/>
      <c r="H8" s="39"/>
      <c r="I8" s="39"/>
      <c r="J8" s="39"/>
      <c r="K8" s="39"/>
      <c r="L8" s="40">
        <f>'A B Farm'!L45</f>
        <v>82200000</v>
      </c>
      <c r="M8" s="39"/>
      <c r="N8" s="39" t="s">
        <v>100</v>
      </c>
      <c r="O8" s="39"/>
      <c r="P8" s="39"/>
      <c r="Q8" s="39"/>
      <c r="R8" s="24"/>
    </row>
    <row r="9" spans="1:18" x14ac:dyDescent="0.25">
      <c r="A9" s="223">
        <f>'A B Farm'!A46</f>
        <v>0</v>
      </c>
      <c r="B9" s="61"/>
      <c r="C9" s="64">
        <f>'A B Farm'!C46</f>
        <v>3945600</v>
      </c>
      <c r="D9" s="64">
        <f>'A B Farm'!D46</f>
        <v>3945600</v>
      </c>
      <c r="E9" s="64">
        <f>'A B Farm'!E46</f>
        <v>3945600</v>
      </c>
      <c r="F9" s="64">
        <f>'A B Farm'!F46</f>
        <v>3945600</v>
      </c>
      <c r="G9" s="64">
        <f>'A B Farm'!G46</f>
        <v>3945600</v>
      </c>
      <c r="H9" s="64">
        <f>'A B Farm'!H46</f>
        <v>3945600</v>
      </c>
      <c r="I9" s="64">
        <f>'A B Farm'!I46</f>
        <v>3945600</v>
      </c>
      <c r="J9" s="64">
        <f>'A B Farm'!J46</f>
        <v>3945600</v>
      </c>
      <c r="K9" s="64">
        <f>'A B Farm'!K46</f>
        <v>3945600</v>
      </c>
      <c r="L9" s="64">
        <f>'A B Farm'!L46</f>
        <v>86145600</v>
      </c>
      <c r="M9" s="63"/>
      <c r="N9" s="63"/>
      <c r="O9" s="63"/>
      <c r="P9" s="63"/>
      <c r="Q9" s="63"/>
      <c r="R9" s="24"/>
    </row>
    <row r="10" spans="1:18" x14ac:dyDescent="0.25">
      <c r="A10" s="105" t="str">
        <f>'A B Farm'!A47</f>
        <v>Total Costs &amp; Expensses</v>
      </c>
      <c r="B10" s="61"/>
      <c r="C10" s="63">
        <f>'A B Farm'!C47</f>
        <v>11070000</v>
      </c>
      <c r="D10" s="63">
        <f>'A B Farm'!D47</f>
        <v>14070000</v>
      </c>
      <c r="E10" s="63">
        <f>'A B Farm'!E47</f>
        <v>16350000</v>
      </c>
      <c r="F10" s="63">
        <f>'A B Farm'!F47</f>
        <v>12570000</v>
      </c>
      <c r="G10" s="63">
        <f>'A B Farm'!G47</f>
        <v>10650000</v>
      </c>
      <c r="H10" s="63">
        <f>'A B Farm'!H47</f>
        <v>12090000</v>
      </c>
      <c r="I10" s="63">
        <f>'A B Farm'!I47</f>
        <v>14190000</v>
      </c>
      <c r="J10" s="63">
        <f>'A B Farm'!J47</f>
        <v>16500000</v>
      </c>
      <c r="K10" s="63">
        <f>'A B Farm'!K47</f>
        <v>16500000</v>
      </c>
      <c r="L10" s="63">
        <f>'A B Farm'!L47</f>
        <v>16500000</v>
      </c>
      <c r="M10" s="63">
        <f>'A B Farm'!M47</f>
        <v>16500000</v>
      </c>
      <c r="N10" s="63">
        <f>'A B Farm'!N47</f>
        <v>16500000</v>
      </c>
      <c r="O10" s="63">
        <f>'A B Farm'!O47</f>
        <v>16500000</v>
      </c>
      <c r="P10" s="63">
        <f>'A B Farm'!P47</f>
        <v>16500000</v>
      </c>
      <c r="Q10" s="63">
        <f>'A B Farm'!Q47</f>
        <v>16500000</v>
      </c>
      <c r="R10" s="24"/>
    </row>
    <row r="11" spans="1:18" x14ac:dyDescent="0.25">
      <c r="A11" s="173"/>
      <c r="B11" s="61"/>
      <c r="C11" s="64">
        <f>'A B Farm'!C48</f>
        <v>15988072.727272727</v>
      </c>
      <c r="D11" s="64">
        <f>'A B Farm'!D48</f>
        <v>15988072.727272727</v>
      </c>
      <c r="E11" s="64">
        <f>'A B Farm'!E48</f>
        <v>15231810.909090906</v>
      </c>
      <c r="F11" s="64">
        <f>'A B Farm'!F48</f>
        <v>21636662.545454539</v>
      </c>
      <c r="G11" s="64">
        <f>'A B Farm'!G48</f>
        <v>30235144.654545445</v>
      </c>
      <c r="H11" s="64">
        <f>'A B Farm'!H48</f>
        <v>34386437.381818168</v>
      </c>
      <c r="I11" s="64">
        <f>'A B Farm'!I48</f>
        <v>38600155.563636355</v>
      </c>
      <c r="J11" s="64">
        <f>'A B Farm'!J48</f>
        <v>43292052.727272727</v>
      </c>
      <c r="K11" s="64">
        <f>'A B Farm'!K48</f>
        <v>45570581.81818182</v>
      </c>
      <c r="L11" s="64">
        <f>'A B Farm'!L48</f>
        <v>47505770.909090906</v>
      </c>
      <c r="M11" s="63">
        <f>'A B Farm'!M48</f>
        <v>49409747.272727273</v>
      </c>
      <c r="N11" s="63">
        <f>'A B Farm'!N48</f>
        <v>50096427.272727273</v>
      </c>
      <c r="O11" s="63">
        <f>'A B Farm'!O48</f>
        <v>50096427.272727273</v>
      </c>
      <c r="P11" s="63">
        <f>'A B Farm'!P48</f>
        <v>50096427.272727273</v>
      </c>
      <c r="Q11" s="63">
        <f>'A B Farm'!Q48</f>
        <v>50096427.272727273</v>
      </c>
      <c r="R11" s="24"/>
    </row>
    <row r="12" spans="1:18" x14ac:dyDescent="0.25">
      <c r="A12" s="173"/>
      <c r="B12" s="61"/>
      <c r="C12" s="62"/>
      <c r="D12" s="62"/>
      <c r="E12" s="62"/>
      <c r="F12" s="62"/>
      <c r="G12" s="62"/>
      <c r="H12" s="62"/>
      <c r="I12" s="62"/>
      <c r="J12" s="62"/>
      <c r="K12" s="62"/>
      <c r="L12" s="62"/>
      <c r="R12" s="24"/>
    </row>
    <row r="13" spans="1:18" ht="15.75" thickBot="1" x14ac:dyDescent="0.3">
      <c r="A13" s="173"/>
      <c r="B13" s="61">
        <f>'A B Farm'!B50</f>
        <v>-82200000</v>
      </c>
      <c r="C13" s="64">
        <f>'A B Farm'!C50</f>
        <v>972472.7272727266</v>
      </c>
      <c r="D13" s="64">
        <f>'A B Farm'!D50</f>
        <v>-2027527.2727272734</v>
      </c>
      <c r="E13" s="64">
        <f>'A B Farm'!E50</f>
        <v>-5063789.0909090936</v>
      </c>
      <c r="F13" s="64">
        <f>'A B Farm'!F50</f>
        <v>5121062.5454545394</v>
      </c>
      <c r="G13" s="64">
        <f>'A B Farm'!G50</f>
        <v>15639544.654545445</v>
      </c>
      <c r="H13" s="64">
        <f>'A B Farm'!H50</f>
        <v>18350837.381818168</v>
      </c>
      <c r="I13" s="64">
        <f>'A B Farm'!I50</f>
        <v>20464555.563636355</v>
      </c>
      <c r="J13" s="64">
        <f>'A B Farm'!J50</f>
        <v>22846452.727272727</v>
      </c>
      <c r="K13" s="64">
        <f>'A B Farm'!K50</f>
        <v>25124981.81818182</v>
      </c>
      <c r="L13" s="64">
        <f>'A B Farm'!L50</f>
        <v>-55139829.090909094</v>
      </c>
      <c r="M13" s="63">
        <f>'A B Farm'!M50</f>
        <v>32909747.272727273</v>
      </c>
      <c r="N13" s="63">
        <f>'A B Farm'!N50</f>
        <v>33596427.272727273</v>
      </c>
      <c r="O13" s="63">
        <f>'A B Farm'!O50</f>
        <v>33596427.272727273</v>
      </c>
      <c r="P13" s="63">
        <f>'A B Farm'!P50</f>
        <v>33596427.272727273</v>
      </c>
      <c r="Q13" s="63">
        <f>'A B Farm'!Q50</f>
        <v>33596427.272727273</v>
      </c>
      <c r="R13" s="24"/>
    </row>
    <row r="14" spans="1:18" ht="15.75" thickBot="1" x14ac:dyDescent="0.3">
      <c r="A14" s="174"/>
      <c r="B14" s="68" t="str">
        <f>'A B Farm'!B51</f>
        <v>Reserves</v>
      </c>
      <c r="C14" s="69"/>
      <c r="D14" s="70">
        <f>'A B Farm'!D51</f>
        <v>-1055054.5454545468</v>
      </c>
      <c r="E14" s="70">
        <f>'A B Farm'!E51</f>
        <v>-6118843.6363636404</v>
      </c>
      <c r="F14" s="70">
        <f>'A B Farm'!F51</f>
        <v>-997781.09090910107</v>
      </c>
      <c r="G14" s="70">
        <f>'A B Farm'!G51</f>
        <v>14641763.563636344</v>
      </c>
      <c r="H14" s="70">
        <f>'A B Farm'!H51</f>
        <v>32992600.945454512</v>
      </c>
      <c r="I14" s="70">
        <f>'A B Farm'!I51</f>
        <v>53457156.509090871</v>
      </c>
      <c r="J14" s="70">
        <f>'A B Farm'!J51</f>
        <v>76303609.23636359</v>
      </c>
      <c r="K14" s="70">
        <f>'A B Farm'!K51</f>
        <v>101428591.0545454</v>
      </c>
      <c r="L14" s="86">
        <f>'A B Farm'!L51</f>
        <v>46288761.963636309</v>
      </c>
      <c r="M14" s="70">
        <f>'A B Farm'!M51</f>
        <v>79198509.23636359</v>
      </c>
      <c r="N14" s="70">
        <f>'A B Farm'!N51</f>
        <v>112794936.50909087</v>
      </c>
      <c r="O14" s="70">
        <f>'A B Farm'!O51</f>
        <v>146391363.78181815</v>
      </c>
      <c r="P14" s="70">
        <f>'A B Farm'!P51</f>
        <v>179987791.05454543</v>
      </c>
      <c r="Q14" s="70">
        <f>'A B Farm'!Q51</f>
        <v>213584218.32727271</v>
      </c>
      <c r="R14" s="24"/>
    </row>
    <row r="15" spans="1:18" ht="15.75" thickBot="1" x14ac:dyDescent="0.3"/>
    <row r="16" spans="1:18" ht="15.75" thickBot="1" x14ac:dyDescent="0.3">
      <c r="A16" s="237" t="s">
        <v>129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3"/>
    </row>
    <row r="17" spans="1:17" ht="15.75" thickBot="1" x14ac:dyDescent="0.3">
      <c r="A17" s="71" t="s">
        <v>77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107"/>
      <c r="Q17" s="123"/>
    </row>
    <row r="18" spans="1:17" x14ac:dyDescent="0.25">
      <c r="A18" s="223" t="str">
        <f>'C D Extraction Mill'!A26</f>
        <v>Cost of Credit</v>
      </c>
      <c r="B18" s="63">
        <f>'C D Extraction Mill'!B26</f>
        <v>7800000</v>
      </c>
      <c r="C18" s="64">
        <f>'C D Extraction Mill'!C26</f>
        <v>374400</v>
      </c>
      <c r="D18" s="64">
        <f>'C D Extraction Mill'!D26</f>
        <v>374400</v>
      </c>
      <c r="E18" s="64">
        <f>'C D Extraction Mill'!E26</f>
        <v>374400</v>
      </c>
      <c r="F18" s="64">
        <f>'C D Extraction Mill'!F26</f>
        <v>374400</v>
      </c>
      <c r="G18" s="64">
        <f>'C D Extraction Mill'!G26</f>
        <v>374400</v>
      </c>
      <c r="H18" s="64">
        <f>'C D Extraction Mill'!H26</f>
        <v>374400</v>
      </c>
      <c r="I18" s="64">
        <f>'C D Extraction Mill'!I26</f>
        <v>374400</v>
      </c>
      <c r="J18" s="64">
        <f>'C D Extraction Mill'!J26</f>
        <v>374400</v>
      </c>
      <c r="K18" s="64">
        <f>'C D Extraction Mill'!K26</f>
        <v>374400</v>
      </c>
      <c r="L18" s="64">
        <f>'C D Extraction Mill'!L26</f>
        <v>374400</v>
      </c>
      <c r="M18" s="64"/>
      <c r="N18" s="64"/>
      <c r="O18" s="64"/>
      <c r="P18" s="64"/>
      <c r="Q18" s="65"/>
    </row>
    <row r="19" spans="1:17" x14ac:dyDescent="0.25">
      <c r="A19" s="223">
        <f>'C D Extraction Mill'!A27</f>
        <v>0</v>
      </c>
      <c r="B19" s="66">
        <f>'C D Extraction Mill'!B27</f>
        <v>4.8000000000000001E-2</v>
      </c>
      <c r="C19" s="39"/>
      <c r="D19" s="39"/>
      <c r="E19" s="39"/>
      <c r="F19" s="39"/>
      <c r="G19" s="39"/>
      <c r="H19" s="39"/>
      <c r="I19" s="39"/>
      <c r="J19" s="39"/>
      <c r="K19" s="39"/>
      <c r="L19" s="40">
        <f>'C D Extraction Mill'!L27</f>
        <v>7800000</v>
      </c>
      <c r="M19" s="39"/>
      <c r="N19" s="39"/>
      <c r="O19" s="39"/>
      <c r="P19" s="39"/>
      <c r="Q19" s="115"/>
    </row>
    <row r="20" spans="1:17" x14ac:dyDescent="0.25">
      <c r="A20" s="223">
        <f>'C D Extraction Mill'!A28</f>
        <v>0</v>
      </c>
      <c r="B20" s="61"/>
      <c r="C20" s="64">
        <f>'C D Extraction Mill'!C28</f>
        <v>374400</v>
      </c>
      <c r="D20" s="64">
        <f>'C D Extraction Mill'!D28</f>
        <v>374400</v>
      </c>
      <c r="E20" s="64">
        <f>'C D Extraction Mill'!E28</f>
        <v>374400</v>
      </c>
      <c r="F20" s="64">
        <f>'C D Extraction Mill'!F28</f>
        <v>374400</v>
      </c>
      <c r="G20" s="64">
        <f>'C D Extraction Mill'!G28</f>
        <v>374400</v>
      </c>
      <c r="H20" s="64">
        <f>'C D Extraction Mill'!H28</f>
        <v>374400</v>
      </c>
      <c r="I20" s="64">
        <f>'C D Extraction Mill'!I28</f>
        <v>374400</v>
      </c>
      <c r="J20" s="64">
        <f>'C D Extraction Mill'!J28</f>
        <v>374400</v>
      </c>
      <c r="K20" s="64">
        <f>'C D Extraction Mill'!K28</f>
        <v>374400</v>
      </c>
      <c r="L20" s="64">
        <f>'C D Extraction Mill'!L28</f>
        <v>8174400</v>
      </c>
      <c r="M20" s="64"/>
      <c r="N20" s="64"/>
      <c r="O20" s="64"/>
      <c r="P20" s="64"/>
      <c r="Q20" s="65"/>
    </row>
    <row r="21" spans="1:17" x14ac:dyDescent="0.25">
      <c r="A21" s="173"/>
      <c r="B21" s="61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5"/>
    </row>
    <row r="22" spans="1:17" ht="15.75" thickBot="1" x14ac:dyDescent="0.3">
      <c r="A22" s="72"/>
      <c r="B22" s="61">
        <f>'C D Extraction Mill'!B30</f>
        <v>-7800000</v>
      </c>
      <c r="C22" s="63">
        <f>'C D Extraction Mill'!C30</f>
        <v>579607.2727272734</v>
      </c>
      <c r="D22" s="63">
        <f>'C D Extraction Mill'!D30</f>
        <v>579607.2727272734</v>
      </c>
      <c r="E22" s="63">
        <f>'C D Extraction Mill'!E30</f>
        <v>2272970.1818181872</v>
      </c>
      <c r="F22" s="63">
        <f>'C D Extraction Mill'!F30</f>
        <v>3033790.9818181768</v>
      </c>
      <c r="G22" s="63">
        <f>'C D Extraction Mill'!G30</f>
        <v>3556944.7199999988</v>
      </c>
      <c r="H22" s="63">
        <f>'C D Extraction Mill'!H30</f>
        <v>4177049.4472727254</v>
      </c>
      <c r="I22" s="63">
        <f>'C D Extraction Mill'!I30</f>
        <v>4132330.3563636318</v>
      </c>
      <c r="J22" s="63">
        <f>'C D Extraction Mill'!J30</f>
        <v>4133284.363636367</v>
      </c>
      <c r="K22" s="63">
        <f>'C D Extraction Mill'!K30</f>
        <v>4127321.8181818128</v>
      </c>
      <c r="L22" s="63">
        <f>'C D Extraction Mill'!L30</f>
        <v>-3487839.2727272734</v>
      </c>
      <c r="M22" s="63">
        <f>'C D Extraction Mill'!M30</f>
        <v>4686560.7272727266</v>
      </c>
      <c r="N22" s="63">
        <f>'C D Extraction Mill'!N30</f>
        <v>4686560.7272727266</v>
      </c>
      <c r="O22" s="63">
        <f>'C D Extraction Mill'!O30</f>
        <v>4686560.7272727266</v>
      </c>
      <c r="P22" s="63">
        <f>'C D Extraction Mill'!P30</f>
        <v>4686560.7272727266</v>
      </c>
      <c r="Q22" s="67">
        <f>'C D Extraction Mill'!Q30</f>
        <v>4686560.7272727266</v>
      </c>
    </row>
    <row r="23" spans="1:17" ht="15.75" thickBot="1" x14ac:dyDescent="0.3">
      <c r="A23" s="73"/>
      <c r="B23" s="68" t="str">
        <f>'C D Extraction Mill'!B31</f>
        <v>Reserves</v>
      </c>
      <c r="C23" s="68"/>
      <c r="D23" s="74">
        <f>'C D Extraction Mill'!D31</f>
        <v>1159214.5454545468</v>
      </c>
      <c r="E23" s="74">
        <f>'C D Extraction Mill'!E31</f>
        <v>3432184.727272734</v>
      </c>
      <c r="F23" s="74">
        <f>'C D Extraction Mill'!F31</f>
        <v>6465975.7090909109</v>
      </c>
      <c r="G23" s="74">
        <f>'C D Extraction Mill'!G31</f>
        <v>10022920.42909091</v>
      </c>
      <c r="H23" s="74">
        <f>'C D Extraction Mill'!H31</f>
        <v>14199969.876363635</v>
      </c>
      <c r="I23" s="74">
        <f>'C D Extraction Mill'!I31</f>
        <v>18332300.232727267</v>
      </c>
      <c r="J23" s="74">
        <f>'C D Extraction Mill'!J31</f>
        <v>22465584.596363634</v>
      </c>
      <c r="K23" s="74">
        <f>'C D Extraction Mill'!K31</f>
        <v>26592906.414545447</v>
      </c>
      <c r="L23" s="87">
        <f>'C D Extraction Mill'!L31</f>
        <v>23105067.141818173</v>
      </c>
      <c r="M23" s="74">
        <f>'C D Extraction Mill'!M31</f>
        <v>27791627.8690909</v>
      </c>
      <c r="N23" s="74">
        <f>'C D Extraction Mill'!N31</f>
        <v>32478188.596363626</v>
      </c>
      <c r="O23" s="74">
        <f>'C D Extraction Mill'!O31</f>
        <v>37164749.323636353</v>
      </c>
      <c r="P23" s="74">
        <f>'C D Extraction Mill'!P31</f>
        <v>41851310.05090908</v>
      </c>
      <c r="Q23" s="124">
        <f>'C D Extraction Mill'!Q31</f>
        <v>46537870.778181806</v>
      </c>
    </row>
    <row r="24" spans="1:17" ht="15.75" thickBot="1" x14ac:dyDescent="0.3"/>
    <row r="25" spans="1:17" ht="15.75" thickBot="1" x14ac:dyDescent="0.3">
      <c r="A25" s="71" t="s">
        <v>130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3"/>
    </row>
    <row r="26" spans="1:17" x14ac:dyDescent="0.25">
      <c r="A26" s="173" t="str">
        <f>'E F Refinery'!A19</f>
        <v>Cash Flow</v>
      </c>
      <c r="B26" s="61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107"/>
      <c r="Q26" s="123"/>
    </row>
    <row r="27" spans="1:17" x14ac:dyDescent="0.25">
      <c r="A27" s="223" t="str">
        <f>'E F Refinery'!A20</f>
        <v>Cost of Credit</v>
      </c>
      <c r="B27" s="63">
        <f>'E F Refinery'!B20</f>
        <v>17000000</v>
      </c>
      <c r="C27" s="64">
        <f>'E F Refinery'!C20</f>
        <v>816000</v>
      </c>
      <c r="D27" s="64">
        <f>'E F Refinery'!D20</f>
        <v>816000</v>
      </c>
      <c r="E27" s="64">
        <f>'E F Refinery'!E20</f>
        <v>816000</v>
      </c>
      <c r="F27" s="64">
        <f>'E F Refinery'!F20</f>
        <v>816000</v>
      </c>
      <c r="G27" s="64">
        <f>'E F Refinery'!G20</f>
        <v>816000</v>
      </c>
      <c r="H27" s="64">
        <f>'E F Refinery'!H20</f>
        <v>816000</v>
      </c>
      <c r="I27" s="64">
        <f>'E F Refinery'!I20</f>
        <v>816000</v>
      </c>
      <c r="J27" s="64">
        <f>'E F Refinery'!J20</f>
        <v>816000</v>
      </c>
      <c r="K27" s="64">
        <f>'E F Refinery'!K20</f>
        <v>816000</v>
      </c>
      <c r="L27" s="64">
        <f>'E F Refinery'!L20</f>
        <v>816000</v>
      </c>
      <c r="M27" s="94"/>
      <c r="N27" s="94"/>
      <c r="O27" s="94"/>
      <c r="P27" s="94"/>
      <c r="Q27" s="108"/>
    </row>
    <row r="28" spans="1:17" x14ac:dyDescent="0.25">
      <c r="A28" s="223"/>
      <c r="B28" s="66">
        <f>'E F Refinery'!B21</f>
        <v>4.8000000000000001E-2</v>
      </c>
      <c r="C28" s="39"/>
      <c r="D28" s="39"/>
      <c r="E28" s="39"/>
      <c r="F28" s="39"/>
      <c r="G28" s="39"/>
      <c r="H28" s="39"/>
      <c r="I28" s="39"/>
      <c r="J28" s="39"/>
      <c r="K28" s="39"/>
      <c r="L28" s="40">
        <f>'E F Refinery'!L21</f>
        <v>17000000</v>
      </c>
      <c r="M28" s="94"/>
      <c r="N28" s="94"/>
      <c r="O28" s="94"/>
      <c r="P28" s="94"/>
      <c r="Q28" s="108"/>
    </row>
    <row r="29" spans="1:17" x14ac:dyDescent="0.25">
      <c r="A29" s="223"/>
      <c r="B29" s="61"/>
      <c r="C29" s="64">
        <f>'E F Refinery'!C22</f>
        <v>816000</v>
      </c>
      <c r="D29" s="64">
        <f>'E F Refinery'!D22</f>
        <v>816000</v>
      </c>
      <c r="E29" s="64">
        <f>'E F Refinery'!E22</f>
        <v>816000</v>
      </c>
      <c r="F29" s="64">
        <f>'E F Refinery'!F22</f>
        <v>816000</v>
      </c>
      <c r="G29" s="64">
        <f>'E F Refinery'!G22</f>
        <v>816000</v>
      </c>
      <c r="H29" s="64">
        <f>'E F Refinery'!H22</f>
        <v>816000</v>
      </c>
      <c r="I29" s="64">
        <f>'E F Refinery'!I22</f>
        <v>816000</v>
      </c>
      <c r="J29" s="64">
        <f>'E F Refinery'!J22</f>
        <v>816000</v>
      </c>
      <c r="K29" s="64">
        <f>'E F Refinery'!K22</f>
        <v>816000</v>
      </c>
      <c r="L29" s="64">
        <f>'E F Refinery'!L22</f>
        <v>17816000</v>
      </c>
      <c r="M29" s="94"/>
      <c r="N29" s="94"/>
      <c r="O29" s="94"/>
      <c r="P29" s="94"/>
      <c r="Q29" s="108"/>
    </row>
    <row r="30" spans="1:17" x14ac:dyDescent="0.25">
      <c r="A30" s="173"/>
      <c r="B30" s="61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94"/>
      <c r="N30" s="94"/>
      <c r="O30" s="94"/>
      <c r="P30" s="94"/>
      <c r="Q30" s="108"/>
    </row>
    <row r="31" spans="1:17" ht="15.75" thickBot="1" x14ac:dyDescent="0.3">
      <c r="A31" s="72"/>
      <c r="B31" s="61">
        <f>'E F Refinery'!B24</f>
        <v>-17000000</v>
      </c>
      <c r="C31" s="63">
        <f>'E F Refinery'!C24</f>
        <v>-816000</v>
      </c>
      <c r="D31" s="63">
        <f>'E F Refinery'!D24</f>
        <v>-816000</v>
      </c>
      <c r="E31" s="63">
        <f>'E F Refinery'!E24</f>
        <v>1650547.200000003</v>
      </c>
      <c r="F31" s="63">
        <f>'E F Refinery'!F24</f>
        <v>1650547.200000003</v>
      </c>
      <c r="G31" s="63">
        <f>'E F Refinery'!G24</f>
        <v>6028668.4800000042</v>
      </c>
      <c r="H31" s="63">
        <f>'E F Refinery'!H24</f>
        <v>7995739.8720000014</v>
      </c>
      <c r="I31" s="63">
        <f>'E F Refinery'!I24</f>
        <v>9348332.6928000003</v>
      </c>
      <c r="J31" s="63">
        <f>'E F Refinery'!J24</f>
        <v>10951588.372800007</v>
      </c>
      <c r="K31" s="63">
        <f>'E F Refinery'!K24</f>
        <v>10835968.972800002</v>
      </c>
      <c r="L31" s="63">
        <f>'E F Refinery'!L24</f>
        <v>-6161564.4799999967</v>
      </c>
      <c r="M31" s="106">
        <f>'E F Refinery'!M24</f>
        <v>11639019.600000009</v>
      </c>
      <c r="N31" s="106">
        <f>'E F Refinery'!N24</f>
        <v>12116913.120000005</v>
      </c>
      <c r="O31" s="106">
        <f>'E F Refinery'!O24</f>
        <v>12116913.120000005</v>
      </c>
      <c r="P31" s="106">
        <f>'E F Refinery'!P24</f>
        <v>12116913.120000005</v>
      </c>
      <c r="Q31" s="109">
        <f>'E F Refinery'!Q24</f>
        <v>12116913.120000005</v>
      </c>
    </row>
    <row r="32" spans="1:17" ht="15.75" thickBot="1" x14ac:dyDescent="0.3">
      <c r="A32" s="73"/>
      <c r="B32" s="68" t="str">
        <f>'E F Refinery'!B25</f>
        <v>Reserves</v>
      </c>
      <c r="C32" s="68">
        <f>'E F Refinery'!C25</f>
        <v>0</v>
      </c>
      <c r="D32" s="74">
        <f>'E F Refinery'!D25</f>
        <v>-1632000</v>
      </c>
      <c r="E32" s="74">
        <f>'E F Refinery'!E25</f>
        <v>18547.20000000298</v>
      </c>
      <c r="F32" s="74">
        <f>'E F Refinery'!F25</f>
        <v>1669094.400000006</v>
      </c>
      <c r="G32" s="74">
        <f>'E F Refinery'!G25</f>
        <v>7697762.8800000101</v>
      </c>
      <c r="H32" s="74">
        <f>'E F Refinery'!H25</f>
        <v>15693502.752000012</v>
      </c>
      <c r="I32" s="74">
        <f>'E F Refinery'!I25</f>
        <v>25041835.444800012</v>
      </c>
      <c r="J32" s="74">
        <f>'E F Refinery'!J25</f>
        <v>35993423.817600019</v>
      </c>
      <c r="K32" s="74">
        <f>'E F Refinery'!K25</f>
        <v>46829392.790400021</v>
      </c>
      <c r="L32" s="88">
        <f>'E F Refinery'!L25</f>
        <v>40667828.310400024</v>
      </c>
      <c r="M32" s="74">
        <f>'E F Refinery'!M25</f>
        <v>52306847.910400033</v>
      </c>
      <c r="N32" s="74">
        <f>'E F Refinery'!N25</f>
        <v>64423761.030400038</v>
      </c>
      <c r="O32" s="74">
        <f>'E F Refinery'!O25</f>
        <v>76540674.150400043</v>
      </c>
      <c r="P32" s="74">
        <f>'E F Refinery'!P25</f>
        <v>88657587.270400047</v>
      </c>
      <c r="Q32" s="124">
        <f>'E F Refinery'!Q25</f>
        <v>100774500.39040005</v>
      </c>
    </row>
    <row r="33" spans="1:17" ht="15.75" thickBot="1" x14ac:dyDescent="0.3">
      <c r="A33" s="2"/>
      <c r="B33" s="1"/>
      <c r="C33" s="1"/>
      <c r="D33" s="5"/>
      <c r="E33" s="5"/>
      <c r="F33" s="5"/>
      <c r="G33" s="5"/>
      <c r="H33" s="5"/>
      <c r="I33" s="5"/>
      <c r="J33" s="5"/>
      <c r="K33" s="5"/>
      <c r="L33" s="5"/>
      <c r="N33" s="170"/>
    </row>
    <row r="34" spans="1:17" ht="15.75" thickBot="1" x14ac:dyDescent="0.3">
      <c r="A34" s="71" t="s">
        <v>131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3"/>
    </row>
    <row r="35" spans="1:17" ht="15.75" thickBot="1" x14ac:dyDescent="0.3">
      <c r="A35" s="71" t="str">
        <f>'G Biomass'!A17</f>
        <v>Cash Flow</v>
      </c>
      <c r="B35" s="61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107"/>
      <c r="Q35" s="123"/>
    </row>
    <row r="36" spans="1:17" x14ac:dyDescent="0.25">
      <c r="A36" s="223" t="str">
        <f>'G Biomass'!A18</f>
        <v>Cost Of Credit</v>
      </c>
      <c r="B36" s="63">
        <f>'G Biomass'!B18</f>
        <v>23000000</v>
      </c>
      <c r="C36" s="64">
        <f>'G Biomass'!C18</f>
        <v>1104000</v>
      </c>
      <c r="D36" s="64">
        <f>'G Biomass'!D18</f>
        <v>1104000</v>
      </c>
      <c r="E36" s="64">
        <f>'G Biomass'!E18</f>
        <v>1104000</v>
      </c>
      <c r="F36" s="64">
        <f>'G Biomass'!F18</f>
        <v>1104000</v>
      </c>
      <c r="G36" s="64">
        <f>'G Biomass'!G18</f>
        <v>1104000</v>
      </c>
      <c r="H36" s="64">
        <f>'G Biomass'!H18</f>
        <v>1104000</v>
      </c>
      <c r="I36" s="64">
        <f>'G Biomass'!I18</f>
        <v>1104000</v>
      </c>
      <c r="J36" s="64">
        <f>'G Biomass'!J18</f>
        <v>1104000</v>
      </c>
      <c r="K36" s="64">
        <f>'G Biomass'!K18</f>
        <v>1104000</v>
      </c>
      <c r="L36" s="64">
        <f>'G Biomass'!L18</f>
        <v>1104000</v>
      </c>
      <c r="M36" s="94"/>
      <c r="N36" s="94"/>
      <c r="O36" s="94"/>
      <c r="P36" s="94"/>
      <c r="Q36" s="108"/>
    </row>
    <row r="37" spans="1:17" x14ac:dyDescent="0.25">
      <c r="A37" s="223"/>
      <c r="B37" s="66">
        <f>'G Biomass'!B19</f>
        <v>4.8000000000000001E-2</v>
      </c>
      <c r="C37" s="39"/>
      <c r="D37" s="39"/>
      <c r="E37" s="39"/>
      <c r="F37" s="39"/>
      <c r="G37" s="39"/>
      <c r="H37" s="39"/>
      <c r="I37" s="39"/>
      <c r="J37" s="39"/>
      <c r="K37" s="39"/>
      <c r="L37" s="40">
        <f>'G Biomass'!L19</f>
        <v>23000000</v>
      </c>
      <c r="M37" s="94"/>
      <c r="N37" s="94"/>
      <c r="O37" s="94"/>
      <c r="P37" s="94"/>
      <c r="Q37" s="108"/>
    </row>
    <row r="38" spans="1:17" x14ac:dyDescent="0.25">
      <c r="A38" s="223"/>
      <c r="B38" s="61"/>
      <c r="C38" s="64">
        <f>'G Biomass'!C20</f>
        <v>1104000</v>
      </c>
      <c r="D38" s="64">
        <f>'G Biomass'!D20</f>
        <v>1104000</v>
      </c>
      <c r="E38" s="64">
        <f>'G Biomass'!E20</f>
        <v>1104000</v>
      </c>
      <c r="F38" s="64">
        <f>'G Biomass'!F20</f>
        <v>1104000</v>
      </c>
      <c r="G38" s="64">
        <f>'G Biomass'!G20</f>
        <v>1104000</v>
      </c>
      <c r="H38" s="64">
        <f>'G Biomass'!H20</f>
        <v>1104000</v>
      </c>
      <c r="I38" s="64">
        <f>'G Biomass'!I20</f>
        <v>1104000</v>
      </c>
      <c r="J38" s="64">
        <f>'G Biomass'!J20</f>
        <v>1104000</v>
      </c>
      <c r="K38" s="64">
        <f>'G Biomass'!K20</f>
        <v>1104000</v>
      </c>
      <c r="L38" s="64">
        <f>'G Biomass'!L20</f>
        <v>24104000</v>
      </c>
      <c r="M38" s="94"/>
      <c r="N38" s="94"/>
      <c r="O38" s="94"/>
      <c r="P38" s="94"/>
      <c r="Q38" s="108"/>
    </row>
    <row r="39" spans="1:17" x14ac:dyDescent="0.25">
      <c r="A39" s="173"/>
      <c r="B39" s="61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94"/>
      <c r="N39" s="94"/>
      <c r="O39" s="94"/>
      <c r="P39" s="94"/>
      <c r="Q39" s="108"/>
    </row>
    <row r="40" spans="1:17" ht="15.75" thickBot="1" x14ac:dyDescent="0.3">
      <c r="A40" s="72"/>
      <c r="B40" s="61">
        <f>'G Biomass'!B22</f>
        <v>-23000000</v>
      </c>
      <c r="C40" s="63">
        <v>0</v>
      </c>
      <c r="D40" s="63">
        <f>'G Biomass'!D22</f>
        <v>662400</v>
      </c>
      <c r="E40" s="63">
        <f>'G Biomass'!E22</f>
        <v>662400</v>
      </c>
      <c r="F40" s="63">
        <f>'G Biomass'!F22</f>
        <v>1630559.9999999995</v>
      </c>
      <c r="G40" s="63">
        <f>'G Biomass'!G22</f>
        <v>2578583.9999999991</v>
      </c>
      <c r="H40" s="63">
        <f>'G Biomass'!H22</f>
        <v>3851301.5999999987</v>
      </c>
      <c r="I40" s="63">
        <f>'G Biomass'!I22</f>
        <v>4753761.5999999987</v>
      </c>
      <c r="J40" s="63">
        <f>'G Biomass'!J22</f>
        <v>5377461.5999999987</v>
      </c>
      <c r="K40" s="63">
        <f>'G Biomass'!K22</f>
        <v>6071940</v>
      </c>
      <c r="L40" s="63">
        <f>'G Biomass'!L22</f>
        <v>-16590800</v>
      </c>
      <c r="M40" s="63">
        <f>'G Biomass'!M22</f>
        <v>7799640</v>
      </c>
      <c r="N40" s="106">
        <f>'G Biomass'!N22</f>
        <v>8081460</v>
      </c>
      <c r="O40" s="106">
        <f>'G Biomass'!O22</f>
        <v>8183100</v>
      </c>
      <c r="P40" s="106">
        <f>'G Biomass'!P22</f>
        <v>8183100</v>
      </c>
      <c r="Q40" s="108">
        <f>'G Biomass'!Q22</f>
        <v>8183100</v>
      </c>
    </row>
    <row r="41" spans="1:17" ht="15.75" thickBot="1" x14ac:dyDescent="0.3">
      <c r="A41" s="73"/>
      <c r="B41" s="68" t="str">
        <f>'G Biomass'!B23</f>
        <v>Reserves</v>
      </c>
      <c r="C41" s="68"/>
      <c r="D41" s="74">
        <f>'G Biomass'!E23</f>
        <v>1324800</v>
      </c>
      <c r="E41" s="74">
        <f>'G Biomass'!F23</f>
        <v>2955359.9999999995</v>
      </c>
      <c r="F41" s="74">
        <f>'G Biomass'!G23</f>
        <v>5533943.9999999981</v>
      </c>
      <c r="G41" s="74">
        <f>'G Biomass'!H23</f>
        <v>9385245.5999999978</v>
      </c>
      <c r="H41" s="74">
        <f>'G Biomass'!I23</f>
        <v>14139007.199999996</v>
      </c>
      <c r="I41" s="74">
        <f>'G Biomass'!J23</f>
        <v>19516468.799999993</v>
      </c>
      <c r="J41" s="74">
        <f>'G Biomass'!K23</f>
        <v>25588408.799999993</v>
      </c>
      <c r="K41" s="74">
        <f>'G Biomass'!L23</f>
        <v>8997608.7999999933</v>
      </c>
      <c r="L41" s="89">
        <f>'G Biomass'!M23</f>
        <v>16797248.799999993</v>
      </c>
      <c r="M41" s="74">
        <f>'G Biomass'!N23</f>
        <v>24878708.799999993</v>
      </c>
      <c r="N41" s="74">
        <f>'G Biomass'!O23</f>
        <v>33061808.799999993</v>
      </c>
      <c r="O41" s="74">
        <f>'G Biomass'!P23</f>
        <v>41244908.799999997</v>
      </c>
      <c r="P41" s="74">
        <f>'G Biomass'!Q23</f>
        <v>49428008.799999997</v>
      </c>
      <c r="Q41" s="124">
        <f>'G Biomass'!R23</f>
        <v>0</v>
      </c>
    </row>
    <row r="42" spans="1:17" ht="15.75" thickBot="1" x14ac:dyDescent="0.3">
      <c r="O42" s="5"/>
    </row>
    <row r="43" spans="1:17" ht="15.75" thickBot="1" x14ac:dyDescent="0.3">
      <c r="B43" s="2">
        <f>-Investment!F29</f>
        <v>-130000000</v>
      </c>
      <c r="C43" s="163">
        <f>C40+C31+C22+C13</f>
        <v>736080</v>
      </c>
      <c r="D43" s="110">
        <f t="shared" ref="D43:P43" si="0">E40+D31+D22+D13</f>
        <v>-1601520</v>
      </c>
      <c r="E43" s="110">
        <f t="shared" si="0"/>
        <v>490288.2909090966</v>
      </c>
      <c r="F43" s="110">
        <f t="shared" si="0"/>
        <v>12383984.727272719</v>
      </c>
      <c r="G43" s="110">
        <f t="shared" si="0"/>
        <v>29076459.454545446</v>
      </c>
      <c r="H43" s="110">
        <f t="shared" si="0"/>
        <v>35277388.301090896</v>
      </c>
      <c r="I43" s="110">
        <f t="shared" si="0"/>
        <v>39322680.212799981</v>
      </c>
      <c r="J43" s="110">
        <f t="shared" si="0"/>
        <v>44003265.463709101</v>
      </c>
      <c r="K43" s="110">
        <f t="shared" si="0"/>
        <v>23497472.609163634</v>
      </c>
      <c r="L43" s="110">
        <f t="shared" si="0"/>
        <v>-56989592.843636364</v>
      </c>
      <c r="M43" s="110">
        <f t="shared" si="0"/>
        <v>57316787.600000009</v>
      </c>
      <c r="N43" s="110">
        <f t="shared" si="0"/>
        <v>58583001.120000005</v>
      </c>
      <c r="O43" s="110">
        <f t="shared" si="0"/>
        <v>58583001.120000005</v>
      </c>
      <c r="P43" s="110">
        <f t="shared" si="0"/>
        <v>58583001.120000005</v>
      </c>
      <c r="Q43" s="164">
        <f>Q40+Q31+Q22+Q13</f>
        <v>58583001.120000005</v>
      </c>
    </row>
    <row r="44" spans="1:17" ht="15.75" thickBot="1" x14ac:dyDescent="0.3">
      <c r="C44" s="165"/>
      <c r="D44" s="74">
        <f>D41+D32+D23+D14</f>
        <v>-203040</v>
      </c>
      <c r="E44" s="74">
        <f t="shared" ref="E44:Q44" si="1">E41+E32+E23+E14</f>
        <v>287248.2909090966</v>
      </c>
      <c r="F44" s="74">
        <f t="shared" si="1"/>
        <v>12671233.018181814</v>
      </c>
      <c r="G44" s="74">
        <f t="shared" si="1"/>
        <v>41747692.472727261</v>
      </c>
      <c r="H44" s="74">
        <f t="shared" si="1"/>
        <v>77025080.77381815</v>
      </c>
      <c r="I44" s="74">
        <f t="shared" si="1"/>
        <v>116347760.98661813</v>
      </c>
      <c r="J44" s="74">
        <f t="shared" si="1"/>
        <v>160351026.45032722</v>
      </c>
      <c r="K44" s="74">
        <f t="shared" si="1"/>
        <v>183848499.05949086</v>
      </c>
      <c r="L44" s="35">
        <f t="shared" si="1"/>
        <v>126858906.2158545</v>
      </c>
      <c r="M44" s="74">
        <f t="shared" si="1"/>
        <v>184175693.81585452</v>
      </c>
      <c r="N44" s="74">
        <f t="shared" si="1"/>
        <v>242758694.93585452</v>
      </c>
      <c r="O44" s="74">
        <f t="shared" si="1"/>
        <v>301341696.05585456</v>
      </c>
      <c r="P44" s="74">
        <f t="shared" si="1"/>
        <v>359924697.17585456</v>
      </c>
      <c r="Q44" s="124">
        <f t="shared" si="1"/>
        <v>360896589.49585456</v>
      </c>
    </row>
    <row r="45" spans="1:17" ht="15.75" thickBot="1" x14ac:dyDescent="0.3">
      <c r="B45" s="2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</row>
    <row r="46" spans="1:17" x14ac:dyDescent="0.25">
      <c r="A46" s="121" t="s">
        <v>132</v>
      </c>
      <c r="B46" s="168">
        <f>NPV(B48,C43:Q43)</f>
        <v>167068319.77623269</v>
      </c>
      <c r="C46" s="2"/>
      <c r="D46" s="157" t="s">
        <v>133</v>
      </c>
      <c r="E46" s="158" t="s">
        <v>134</v>
      </c>
      <c r="F46" s="158" t="s">
        <v>135</v>
      </c>
      <c r="G46" s="158" t="s">
        <v>136</v>
      </c>
      <c r="H46" s="159" t="s">
        <v>137</v>
      </c>
      <c r="I46" s="2"/>
      <c r="J46" s="2"/>
      <c r="K46" s="2"/>
      <c r="L46" s="2"/>
    </row>
    <row r="47" spans="1:17" ht="15.75" thickBot="1" x14ac:dyDescent="0.3">
      <c r="A47" s="173" t="s">
        <v>24</v>
      </c>
      <c r="B47" s="154">
        <f>H47</f>
        <v>0.17257706768171654</v>
      </c>
      <c r="C47" s="8"/>
      <c r="D47" s="160">
        <f>'A B Farm'!B54</f>
        <v>0.14215115495695563</v>
      </c>
      <c r="E47" s="161">
        <f>'C D Extraction Mill'!B34</f>
        <v>0.27054078068660004</v>
      </c>
      <c r="F47" s="161">
        <f>'E F Refinery'!A28</f>
        <v>0.20524025105510635</v>
      </c>
      <c r="G47" s="161">
        <f>'G Biomass'!B26</f>
        <v>7.2376084028204168E-2</v>
      </c>
      <c r="H47" s="162">
        <f>AVERAGE(D47:G47)</f>
        <v>0.17257706768171654</v>
      </c>
      <c r="I47" s="8"/>
      <c r="J47" s="8"/>
      <c r="K47" s="8"/>
      <c r="L47" s="8"/>
    </row>
    <row r="48" spans="1:17" ht="15.75" thickBot="1" x14ac:dyDescent="0.3">
      <c r="A48" s="122" t="s">
        <v>81</v>
      </c>
      <c r="B48" s="151">
        <v>9.5000000000000001E-2</v>
      </c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1:17" x14ac:dyDescent="0.25">
      <c r="A49" s="61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pans="1:17" x14ac:dyDescent="0.25">
      <c r="A50" s="61"/>
    </row>
    <row r="51" spans="1:17" x14ac:dyDescent="0.25">
      <c r="A51" s="25"/>
    </row>
    <row r="52" spans="1:17" ht="15.75" hidden="1" thickBot="1" x14ac:dyDescent="0.3"/>
    <row r="53" spans="1:17" hidden="1" x14ac:dyDescent="0.25">
      <c r="A53" s="21"/>
      <c r="B53" s="22"/>
      <c r="C53" s="188">
        <v>1</v>
      </c>
      <c r="D53" s="188">
        <v>2</v>
      </c>
      <c r="E53" s="188">
        <v>3</v>
      </c>
      <c r="F53" s="188">
        <v>4</v>
      </c>
      <c r="G53" s="188">
        <v>5</v>
      </c>
      <c r="H53" s="188">
        <v>6</v>
      </c>
      <c r="I53" s="189">
        <v>7</v>
      </c>
      <c r="J53" s="184"/>
      <c r="K53" s="184"/>
      <c r="L53" s="184"/>
      <c r="M53" s="184"/>
      <c r="N53" s="184"/>
      <c r="O53" s="184"/>
      <c r="P53" s="184"/>
      <c r="Q53" s="184"/>
    </row>
    <row r="54" spans="1:17" hidden="1" x14ac:dyDescent="0.25">
      <c r="A54" s="190" t="s">
        <v>4</v>
      </c>
      <c r="B54" s="187">
        <f>Investment!F7</f>
        <v>45000000</v>
      </c>
      <c r="C54" s="191">
        <f>B54</f>
        <v>45000000</v>
      </c>
      <c r="D54" s="25"/>
      <c r="E54" s="25"/>
      <c r="F54" s="25"/>
      <c r="G54" s="25"/>
      <c r="H54" s="25"/>
      <c r="I54" s="26"/>
      <c r="J54" s="185"/>
      <c r="K54" s="185"/>
      <c r="L54" s="185"/>
      <c r="M54" s="186"/>
      <c r="N54" s="176"/>
      <c r="O54" s="186"/>
      <c r="P54" s="186"/>
      <c r="Q54" s="186"/>
    </row>
    <row r="55" spans="1:17" hidden="1" x14ac:dyDescent="0.25">
      <c r="A55" s="190" t="s">
        <v>6</v>
      </c>
      <c r="B55" s="187">
        <f>Investment!F10</f>
        <v>37200000</v>
      </c>
      <c r="C55" s="191">
        <f>'A B Farm'!C15</f>
        <v>4800000</v>
      </c>
      <c r="D55" s="191">
        <f>'A B Farm'!D15</f>
        <v>7800000</v>
      </c>
      <c r="E55" s="191">
        <f>'A B Farm'!E15</f>
        <v>10080000</v>
      </c>
      <c r="F55" s="191">
        <f>'A B Farm'!F15</f>
        <v>6300000</v>
      </c>
      <c r="G55" s="191">
        <f>'A B Farm'!G15</f>
        <v>4380000</v>
      </c>
      <c r="H55" s="191">
        <f>'A B Farm'!H15</f>
        <v>2520000</v>
      </c>
      <c r="I55" s="192">
        <f>'A B Farm'!I15</f>
        <v>1320000</v>
      </c>
      <c r="J55" s="185"/>
      <c r="K55" s="185"/>
      <c r="L55" s="185"/>
      <c r="M55" s="186"/>
      <c r="N55" s="176"/>
      <c r="O55" s="186"/>
      <c r="P55" s="186"/>
      <c r="Q55" s="186"/>
    </row>
    <row r="56" spans="1:17" hidden="1" x14ac:dyDescent="0.25">
      <c r="A56" s="193" t="s">
        <v>8</v>
      </c>
      <c r="B56" s="187">
        <f>Investment!F12</f>
        <v>6000000</v>
      </c>
      <c r="C56" s="191">
        <f>$B$56/2</f>
        <v>3000000</v>
      </c>
      <c r="D56" s="191">
        <f>$B$56/2</f>
        <v>3000000</v>
      </c>
      <c r="E56" s="25"/>
      <c r="F56" s="25"/>
      <c r="G56" s="25"/>
      <c r="H56" s="25"/>
      <c r="I56" s="26"/>
    </row>
    <row r="57" spans="1:17" hidden="1" x14ac:dyDescent="0.25">
      <c r="A57" s="193" t="s">
        <v>10</v>
      </c>
      <c r="B57" s="187">
        <f>Investment!F13</f>
        <v>1800000</v>
      </c>
      <c r="C57" s="191">
        <f>$B$57/2</f>
        <v>900000</v>
      </c>
      <c r="D57" s="191">
        <f>$B$57/2</f>
        <v>900000</v>
      </c>
      <c r="E57" s="25"/>
      <c r="F57" s="25"/>
      <c r="G57" s="25"/>
      <c r="H57" s="25"/>
      <c r="I57" s="26"/>
      <c r="M57" s="1"/>
      <c r="O57" s="1"/>
    </row>
    <row r="58" spans="1:17" hidden="1" x14ac:dyDescent="0.25">
      <c r="A58" s="194" t="s">
        <v>13</v>
      </c>
      <c r="B58" s="187">
        <f>Investment!F16</f>
        <v>13000000</v>
      </c>
      <c r="C58" s="191">
        <f>$B$58/2</f>
        <v>6500000</v>
      </c>
      <c r="D58" s="191">
        <f>$B$58/2</f>
        <v>6500000</v>
      </c>
      <c r="E58" s="25"/>
      <c r="F58" s="25"/>
      <c r="G58" s="25"/>
      <c r="H58" s="25"/>
      <c r="I58" s="26"/>
      <c r="M58" s="200"/>
      <c r="O58" s="1"/>
    </row>
    <row r="59" spans="1:17" hidden="1" x14ac:dyDescent="0.25">
      <c r="A59" s="194" t="s">
        <v>14</v>
      </c>
      <c r="B59" s="187">
        <f>Investment!F17</f>
        <v>4000000</v>
      </c>
      <c r="C59" s="25"/>
      <c r="D59" s="25"/>
      <c r="E59" s="191">
        <f>B59</f>
        <v>4000000</v>
      </c>
      <c r="F59" s="25"/>
      <c r="G59" s="25"/>
      <c r="H59" s="25"/>
      <c r="I59" s="26"/>
      <c r="M59" s="1"/>
      <c r="O59" s="1"/>
    </row>
    <row r="60" spans="1:17" hidden="1" x14ac:dyDescent="0.25">
      <c r="A60" s="195" t="s">
        <v>18</v>
      </c>
      <c r="B60" s="187">
        <f>Investment!F21</f>
        <v>7400000</v>
      </c>
      <c r="C60" s="191">
        <f>$B$60/2</f>
        <v>3700000</v>
      </c>
      <c r="D60" s="191">
        <f>$B$60/2</f>
        <v>3700000</v>
      </c>
      <c r="E60" s="25"/>
      <c r="F60" s="25"/>
      <c r="G60" s="25"/>
      <c r="H60" s="25"/>
      <c r="I60" s="26"/>
      <c r="M60" s="1"/>
      <c r="O60" s="1"/>
    </row>
    <row r="61" spans="1:17" hidden="1" x14ac:dyDescent="0.25">
      <c r="A61" s="195" t="s">
        <v>19</v>
      </c>
      <c r="B61" s="187">
        <f>Investment!F27</f>
        <v>15600000</v>
      </c>
      <c r="C61" s="182">
        <v>15600000</v>
      </c>
      <c r="D61" s="104"/>
      <c r="E61" s="104"/>
      <c r="F61" s="104"/>
      <c r="G61" s="104"/>
      <c r="H61" s="104"/>
      <c r="I61" s="196"/>
      <c r="M61" s="1"/>
      <c r="O61" s="200"/>
    </row>
    <row r="62" spans="1:17" hidden="1" x14ac:dyDescent="0.25">
      <c r="A62" s="24"/>
      <c r="B62" s="25"/>
      <c r="C62" s="191">
        <f>SUM(C54:C61)</f>
        <v>79500000</v>
      </c>
      <c r="D62" s="191">
        <f t="shared" ref="D62:E62" si="2">SUM(D54:D61)</f>
        <v>21900000</v>
      </c>
      <c r="E62" s="191">
        <f t="shared" si="2"/>
        <v>14080000</v>
      </c>
      <c r="F62" s="191">
        <f t="shared" ref="F62" si="3">SUM(F54:F61)</f>
        <v>6300000</v>
      </c>
      <c r="G62" s="191">
        <f t="shared" ref="G62" si="4">SUM(G54:G61)</f>
        <v>4380000</v>
      </c>
      <c r="H62" s="191">
        <f t="shared" ref="H62" si="5">SUM(H54:H61)</f>
        <v>2520000</v>
      </c>
      <c r="I62" s="192">
        <f t="shared" ref="I62" si="6">SUM(I54:I61)</f>
        <v>1320000</v>
      </c>
      <c r="J62" s="207"/>
      <c r="M62" s="1"/>
      <c r="O62" s="1"/>
    </row>
    <row r="63" spans="1:17" hidden="1" x14ac:dyDescent="0.25">
      <c r="A63" s="24"/>
      <c r="B63" s="25"/>
      <c r="C63" s="25"/>
      <c r="D63" s="25"/>
      <c r="E63" s="25"/>
      <c r="F63" s="25"/>
      <c r="G63" s="25"/>
      <c r="H63" s="25"/>
      <c r="I63" s="26"/>
      <c r="M63" s="1"/>
      <c r="O63" s="201"/>
    </row>
    <row r="64" spans="1:17" ht="15.75" hidden="1" thickBot="1" x14ac:dyDescent="0.3">
      <c r="A64" s="31"/>
      <c r="B64" s="199" t="s">
        <v>143</v>
      </c>
      <c r="C64" s="197">
        <f>Investment!$F$29-'A B C D E F G Summary'!C62</f>
        <v>50500000</v>
      </c>
      <c r="D64" s="197">
        <f>C64-D62</f>
        <v>28600000</v>
      </c>
      <c r="E64" s="197">
        <f t="shared" ref="E64:I64" si="7">D64-E62</f>
        <v>14520000</v>
      </c>
      <c r="F64" s="197">
        <f t="shared" si="7"/>
        <v>8220000</v>
      </c>
      <c r="G64" s="197">
        <f t="shared" si="7"/>
        <v>3840000</v>
      </c>
      <c r="H64" s="197">
        <f t="shared" si="7"/>
        <v>1320000</v>
      </c>
      <c r="I64" s="198">
        <f t="shared" si="7"/>
        <v>0</v>
      </c>
      <c r="M64" s="1"/>
      <c r="O64" s="1"/>
    </row>
    <row r="65" spans="1:15" x14ac:dyDescent="0.25">
      <c r="A65" s="232" t="s">
        <v>144</v>
      </c>
      <c r="B65" s="233" t="s">
        <v>145</v>
      </c>
      <c r="C65" s="234"/>
      <c r="D65" s="234">
        <f>C64*$B$66</f>
        <v>10100000</v>
      </c>
      <c r="E65" s="234">
        <f t="shared" ref="E65:I65" si="8">D64*$B$66</f>
        <v>5720000</v>
      </c>
      <c r="F65" s="234">
        <f t="shared" si="8"/>
        <v>2904000</v>
      </c>
      <c r="G65" s="234">
        <f t="shared" si="8"/>
        <v>1644000</v>
      </c>
      <c r="H65" s="234">
        <f t="shared" si="8"/>
        <v>768000</v>
      </c>
      <c r="I65" s="234">
        <f t="shared" si="8"/>
        <v>264000</v>
      </c>
      <c r="M65" s="1"/>
      <c r="O65" s="1"/>
    </row>
    <row r="66" spans="1:15" x14ac:dyDescent="0.25">
      <c r="A66" s="235"/>
      <c r="B66" s="236">
        <v>0.2</v>
      </c>
      <c r="C66" s="235"/>
      <c r="D66" s="235"/>
      <c r="E66" s="235"/>
      <c r="F66" s="235"/>
      <c r="G66" s="235"/>
      <c r="H66" s="235"/>
      <c r="I66" s="235"/>
    </row>
  </sheetData>
  <mergeCells count="4">
    <mergeCell ref="A36:A38"/>
    <mergeCell ref="A7:A9"/>
    <mergeCell ref="A18:A20"/>
    <mergeCell ref="A27:A29"/>
  </mergeCells>
  <pageMargins left="0.70866141732283472" right="0.70866141732283472" top="0.74803149606299213" bottom="0.74803149606299213" header="0.31496062992125984" footer="0.31496062992125984"/>
  <pageSetup paperSize="9" scale="55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93714-F804-47C0-84E7-0AA8DEEEDD7A}">
  <dimension ref="A1:P7"/>
  <sheetViews>
    <sheetView zoomScale="90" zoomScaleNormal="90" workbookViewId="0">
      <selection activeCell="A6" sqref="A6"/>
    </sheetView>
  </sheetViews>
  <sheetFormatPr baseColWidth="10" defaultColWidth="11.42578125" defaultRowHeight="15" x14ac:dyDescent="0.25"/>
  <cols>
    <col min="1" max="1" width="12.28515625" customWidth="1"/>
  </cols>
  <sheetData>
    <row r="1" spans="1:16" ht="15.75" thickBot="1" x14ac:dyDescent="0.3">
      <c r="B1" s="18">
        <v>1</v>
      </c>
      <c r="C1" s="18">
        <v>2</v>
      </c>
      <c r="D1" s="18">
        <v>3</v>
      </c>
      <c r="E1" s="18">
        <v>4</v>
      </c>
      <c r="F1" s="18">
        <v>5</v>
      </c>
      <c r="G1" s="18">
        <v>6</v>
      </c>
      <c r="H1" s="18">
        <v>7</v>
      </c>
      <c r="I1" s="18">
        <v>8</v>
      </c>
      <c r="J1" s="18">
        <v>9</v>
      </c>
      <c r="K1" s="18">
        <v>10</v>
      </c>
      <c r="L1" s="18">
        <v>11</v>
      </c>
      <c r="M1" s="18">
        <v>12</v>
      </c>
      <c r="N1" s="18">
        <v>13</v>
      </c>
      <c r="O1" s="18">
        <v>14</v>
      </c>
      <c r="P1" s="18">
        <v>15</v>
      </c>
    </row>
    <row r="2" spans="1:16" x14ac:dyDescent="0.25">
      <c r="A2" s="203" t="s">
        <v>138</v>
      </c>
      <c r="B2" s="111">
        <f>'A B C D E F G Summary'!C13</f>
        <v>972472.7272727266</v>
      </c>
      <c r="C2" s="111">
        <f>'A B C D E F G Summary'!D13</f>
        <v>-2027527.2727272734</v>
      </c>
      <c r="D2" s="111">
        <f>'A B C D E F G Summary'!E13</f>
        <v>-5063789.0909090936</v>
      </c>
      <c r="E2" s="111">
        <f>'A B C D E F G Summary'!F13</f>
        <v>5121062.5454545394</v>
      </c>
      <c r="F2" s="111">
        <f>'A B C D E F G Summary'!G13</f>
        <v>15639544.654545445</v>
      </c>
      <c r="G2" s="111">
        <f>'A B C D E F G Summary'!H13</f>
        <v>18350837.381818168</v>
      </c>
      <c r="H2" s="111">
        <f>'A B C D E F G Summary'!I13</f>
        <v>20464555.563636355</v>
      </c>
      <c r="I2" s="111">
        <f>'A B C D E F G Summary'!J13</f>
        <v>22846452.727272727</v>
      </c>
      <c r="J2" s="111">
        <f>'A B C D E F G Summary'!K13</f>
        <v>25124981.81818182</v>
      </c>
      <c r="K2" s="111">
        <f>'A B C D E F G Summary'!L13</f>
        <v>-55139829.090909094</v>
      </c>
      <c r="L2" s="111">
        <f>'A B C D E F G Summary'!M13</f>
        <v>32909747.272727273</v>
      </c>
      <c r="M2" s="111">
        <f>'A B C D E F G Summary'!N13</f>
        <v>33596427.272727273</v>
      </c>
      <c r="N2" s="111">
        <f>'A B C D E F G Summary'!O13</f>
        <v>33596427.272727273</v>
      </c>
      <c r="O2" s="111">
        <f>'A B C D E F G Summary'!P13</f>
        <v>33596427.272727273</v>
      </c>
      <c r="P2" s="111">
        <f>'A B C D E F G Summary'!Q13</f>
        <v>33596427.272727273</v>
      </c>
    </row>
    <row r="3" spans="1:16" x14ac:dyDescent="0.25">
      <c r="A3" s="204" t="s">
        <v>139</v>
      </c>
      <c r="B3" s="111">
        <f>'A B C D E F G Summary'!C22</f>
        <v>579607.2727272734</v>
      </c>
      <c r="C3" s="111">
        <f>'A B C D E F G Summary'!D22</f>
        <v>579607.2727272734</v>
      </c>
      <c r="D3" s="111">
        <f>'A B C D E F G Summary'!E22</f>
        <v>2272970.1818181872</v>
      </c>
      <c r="E3" s="111">
        <f>'A B C D E F G Summary'!F22</f>
        <v>3033790.9818181768</v>
      </c>
      <c r="F3" s="111">
        <f>'A B C D E F G Summary'!G22</f>
        <v>3556944.7199999988</v>
      </c>
      <c r="G3" s="111">
        <f>'A B C D E F G Summary'!H22</f>
        <v>4177049.4472727254</v>
      </c>
      <c r="H3" s="111">
        <f>'A B C D E F G Summary'!I22</f>
        <v>4132330.3563636318</v>
      </c>
      <c r="I3" s="111">
        <f>'A B C D E F G Summary'!J22</f>
        <v>4133284.363636367</v>
      </c>
      <c r="J3" s="111">
        <f>'A B C D E F G Summary'!K22</f>
        <v>4127321.8181818128</v>
      </c>
      <c r="K3" s="111">
        <f>'A B C D E F G Summary'!L22</f>
        <v>-3487839.2727272734</v>
      </c>
      <c r="L3" s="111">
        <f>'A B C D E F G Summary'!M22</f>
        <v>4686560.7272727266</v>
      </c>
      <c r="M3" s="111">
        <f>'A B C D E F G Summary'!N22</f>
        <v>4686560.7272727266</v>
      </c>
      <c r="N3" s="111">
        <f>'A B C D E F G Summary'!O22</f>
        <v>4686560.7272727266</v>
      </c>
      <c r="O3" s="111">
        <f>'A B C D E F G Summary'!P22</f>
        <v>4686560.7272727266</v>
      </c>
      <c r="P3" s="111">
        <f>'A B C D E F G Summary'!Q22</f>
        <v>4686560.7272727266</v>
      </c>
    </row>
    <row r="4" spans="1:16" x14ac:dyDescent="0.25">
      <c r="A4" s="205" t="s">
        <v>140</v>
      </c>
      <c r="B4" s="111">
        <f>'A B C D E F G Summary'!C31</f>
        <v>-816000</v>
      </c>
      <c r="C4" s="111">
        <f>'A B C D E F G Summary'!D31</f>
        <v>-816000</v>
      </c>
      <c r="D4" s="111">
        <f>'A B C D E F G Summary'!E31</f>
        <v>1650547.200000003</v>
      </c>
      <c r="E4" s="111">
        <f>'A B C D E F G Summary'!F31</f>
        <v>1650547.200000003</v>
      </c>
      <c r="F4" s="111">
        <f>'A B C D E F G Summary'!G31</f>
        <v>6028668.4800000042</v>
      </c>
      <c r="G4" s="111">
        <f>'A B C D E F G Summary'!H31</f>
        <v>7995739.8720000014</v>
      </c>
      <c r="H4" s="111">
        <f>'A B C D E F G Summary'!I31</f>
        <v>9348332.6928000003</v>
      </c>
      <c r="I4" s="111">
        <f>'A B C D E F G Summary'!J31</f>
        <v>10951588.372800007</v>
      </c>
      <c r="J4" s="111">
        <f>'A B C D E F G Summary'!K31</f>
        <v>10835968.972800002</v>
      </c>
      <c r="K4" s="111">
        <f>'A B C D E F G Summary'!L31</f>
        <v>-6161564.4799999967</v>
      </c>
      <c r="L4" s="111">
        <f>'A B C D E F G Summary'!M31</f>
        <v>11639019.600000009</v>
      </c>
      <c r="M4" s="111">
        <f>'A B C D E F G Summary'!N31</f>
        <v>12116913.120000005</v>
      </c>
      <c r="N4" s="111">
        <f>'A B C D E F G Summary'!O31</f>
        <v>12116913.120000005</v>
      </c>
      <c r="O4" s="111">
        <f>'A B C D E F G Summary'!P31</f>
        <v>12116913.120000005</v>
      </c>
      <c r="P4" s="111">
        <f>'A B C D E F G Summary'!Q31</f>
        <v>12116913.120000005</v>
      </c>
    </row>
    <row r="5" spans="1:16" ht="15.75" thickBot="1" x14ac:dyDescent="0.3">
      <c r="A5" s="206" t="s">
        <v>141</v>
      </c>
      <c r="B5" s="202">
        <f>'A B C D E F G Summary'!C40</f>
        <v>0</v>
      </c>
      <c r="C5" s="202">
        <f>'A B C D E F G Summary'!D40</f>
        <v>662400</v>
      </c>
      <c r="D5" s="202">
        <f>'A B C D E F G Summary'!E40</f>
        <v>662400</v>
      </c>
      <c r="E5" s="202">
        <f>'A B C D E F G Summary'!F40</f>
        <v>1630559.9999999995</v>
      </c>
      <c r="F5" s="202">
        <f>'A B C D E F G Summary'!G40</f>
        <v>2578583.9999999991</v>
      </c>
      <c r="G5" s="202">
        <f>'A B C D E F G Summary'!H40</f>
        <v>3851301.5999999987</v>
      </c>
      <c r="H5" s="202">
        <f>'A B C D E F G Summary'!I40</f>
        <v>4753761.5999999987</v>
      </c>
      <c r="I5" s="202">
        <f>'A B C D E F G Summary'!J40</f>
        <v>5377461.5999999987</v>
      </c>
      <c r="J5" s="202">
        <f>'A B C D E F G Summary'!K40</f>
        <v>6071940</v>
      </c>
      <c r="K5" s="202">
        <f>'A B C D E F G Summary'!L40</f>
        <v>-16590800</v>
      </c>
      <c r="L5" s="202">
        <f>'A B C D E F G Summary'!M40</f>
        <v>7799640</v>
      </c>
      <c r="M5" s="202">
        <f>'A B C D E F G Summary'!N40</f>
        <v>8081460</v>
      </c>
      <c r="N5" s="202">
        <f>'A B C D E F G Summary'!O40</f>
        <v>8183100</v>
      </c>
      <c r="O5" s="202">
        <f>'A B C D E F G Summary'!P40</f>
        <v>8183100</v>
      </c>
      <c r="P5" s="202">
        <f>'A B C D E F G Summary'!Q40</f>
        <v>8183100</v>
      </c>
    </row>
    <row r="6" spans="1:16" ht="23.25" customHeight="1" thickBot="1" x14ac:dyDescent="0.3">
      <c r="A6" s="209" t="s">
        <v>146</v>
      </c>
      <c r="B6" s="208"/>
      <c r="C6" s="208">
        <f>'A B C D E F G Summary'!D65</f>
        <v>10100000</v>
      </c>
      <c r="D6" s="208">
        <f>'A B C D E F G Summary'!E65</f>
        <v>5720000</v>
      </c>
      <c r="E6" s="208">
        <f>'A B C D E F G Summary'!F65</f>
        <v>2904000</v>
      </c>
      <c r="F6" s="208">
        <f>'A B C D E F G Summary'!G65</f>
        <v>1644000</v>
      </c>
      <c r="G6" s="208">
        <f>'A B C D E F G Summary'!H65</f>
        <v>768000</v>
      </c>
      <c r="H6" s="208">
        <f>'A B C D E F G Summary'!I65</f>
        <v>264000</v>
      </c>
      <c r="I6" s="208"/>
      <c r="J6" s="208"/>
      <c r="K6" s="208"/>
      <c r="L6" s="208"/>
      <c r="M6" s="208"/>
      <c r="N6" s="208"/>
      <c r="O6" s="208"/>
      <c r="P6" s="208"/>
    </row>
    <row r="7" spans="1:16" ht="15.75" thickTop="1" x14ac:dyDescent="0.25">
      <c r="A7" s="93" t="s">
        <v>142</v>
      </c>
      <c r="B7" s="111">
        <f>SUM(B2:B5)</f>
        <v>736080</v>
      </c>
      <c r="C7" s="111">
        <f>SUM(C2:C6)</f>
        <v>8498480</v>
      </c>
      <c r="D7" s="111">
        <f t="shared" ref="D7:P7" si="0">SUM(D2:D6)</f>
        <v>5242128.2909090966</v>
      </c>
      <c r="E7" s="111">
        <f t="shared" si="0"/>
        <v>14339960.727272719</v>
      </c>
      <c r="F7" s="111">
        <f t="shared" si="0"/>
        <v>29447741.854545448</v>
      </c>
      <c r="G7" s="111">
        <f t="shared" si="0"/>
        <v>35142928.301090896</v>
      </c>
      <c r="H7" s="111">
        <f t="shared" si="0"/>
        <v>38962980.212799989</v>
      </c>
      <c r="I7" s="111">
        <f t="shared" si="0"/>
        <v>43308787.063709103</v>
      </c>
      <c r="J7" s="111">
        <f t="shared" si="0"/>
        <v>46160212.609163634</v>
      </c>
      <c r="K7" s="111">
        <f t="shared" si="0"/>
        <v>-81380032.843636364</v>
      </c>
      <c r="L7" s="111">
        <f t="shared" si="0"/>
        <v>57034967.600000009</v>
      </c>
      <c r="M7" s="111">
        <f t="shared" si="0"/>
        <v>58481361.120000005</v>
      </c>
      <c r="N7" s="111">
        <f t="shared" si="0"/>
        <v>58583001.120000005</v>
      </c>
      <c r="O7" s="111">
        <f t="shared" si="0"/>
        <v>58583001.120000005</v>
      </c>
      <c r="P7" s="111">
        <f t="shared" si="0"/>
        <v>58583001.120000005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Investment</vt:lpstr>
      <vt:lpstr>Premises</vt:lpstr>
      <vt:lpstr>A B Farm</vt:lpstr>
      <vt:lpstr>C D Extraction Mill</vt:lpstr>
      <vt:lpstr>E F Refinery</vt:lpstr>
      <vt:lpstr>G Biomass</vt:lpstr>
      <vt:lpstr>A B C D E F G Summary</vt:lpstr>
      <vt:lpstr>Gráficos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Eduardo Villaquiran</dc:creator>
  <cp:keywords/>
  <dc:description/>
  <cp:lastModifiedBy>Eduardo Villaquiran</cp:lastModifiedBy>
  <cp:revision/>
  <dcterms:created xsi:type="dcterms:W3CDTF">2018-12-13T22:00:42Z</dcterms:created>
  <dcterms:modified xsi:type="dcterms:W3CDTF">2019-11-09T00:22:30Z</dcterms:modified>
  <cp:category/>
  <cp:contentStatus/>
</cp:coreProperties>
</file>